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05" yWindow="-105" windowWidth="19425" windowHeight="10560" firstSheet="1" activeTab="1"/>
  </bookViews>
  <sheets>
    <sheet name="Note for users" sheetId="1" r:id="rId1"/>
    <sheet name="1.Project Cost and MOF" sheetId="2" r:id="rId2"/>
    <sheet name="2.Capex Details" sheetId="3" r:id="rId3"/>
    <sheet name="3.Other Exp &amp; Taxes" sheetId="4" r:id="rId4"/>
    <sheet name="4.TL repayment sch" sheetId="5" r:id="rId5"/>
    <sheet name="5.Closing Stock &amp; W Capital" sheetId="6" r:id="rId6"/>
    <sheet name="6.Cons Profit &amp; Loss" sheetId="7" r:id="rId7"/>
    <sheet name="7.Balance Sheet" sheetId="8" r:id="rId8"/>
    <sheet name="8.Cash Flow " sheetId="9" r:id="rId9"/>
    <sheet name="9. Financial indiacators" sheetId="10" r:id="rId10"/>
    <sheet name="10.Grain Production details" sheetId="11" r:id="rId11"/>
    <sheet name="11.F&amp;V Crop Production details" sheetId="12" r:id="rId12"/>
    <sheet name="12.Facility 1 - Cleaning &amp; Grad" sheetId="13" r:id="rId13"/>
    <sheet name="13.Facility 2 Grain Processing" sheetId="14" r:id="rId14"/>
    <sheet name="14. Facility 3 Warehouse" sheetId="15" r:id="rId15"/>
    <sheet name="15. Facility 4 Custom Hiring" sheetId="16" r:id="rId16"/>
    <sheet name="16.Facility 5 Agri Input" sheetId="17" r:id="rId17"/>
    <sheet name="17.Facility 6 Horti Processing " sheetId="18" r:id="rId18"/>
  </sheets>
  <externalReferences>
    <externalReference r:id="rId19"/>
    <externalReference r:id="rId20"/>
  </externalReferences>
  <definedNames>
    <definedName name="_xlnm.Print_Area" localSheetId="10">'10.Grain Production details'!$A$1:$H$119</definedName>
    <definedName name="_xlnm.Print_Area" localSheetId="11">'11.F&amp;V Crop Production details'!$A$1:$H$132</definedName>
    <definedName name="_xlnm.Print_Area" localSheetId="13">'13.Facility 2 Grain Processing'!$A$1:$J$196</definedName>
    <definedName name="_xlnm.Print_Area" localSheetId="6">'6.Cons Profit &amp; Loss'!$A$1:$H$56</definedName>
    <definedName name="_xlnm.Print_Area" localSheetId="9">'9. Financial indiacators'!$A$1:$J$184</definedName>
  </definedNames>
  <calcPr calcId="124519"/>
</workbook>
</file>

<file path=xl/calcChain.xml><?xml version="1.0" encoding="utf-8"?>
<calcChain xmlns="http://schemas.openxmlformats.org/spreadsheetml/2006/main">
  <c r="E52" i="16"/>
  <c r="F23"/>
  <c r="H23"/>
  <c r="I23" s="1"/>
  <c r="J23" s="1"/>
  <c r="K23" s="1"/>
  <c r="B15" i="14"/>
  <c r="B69" i="11"/>
  <c r="D16" i="15"/>
  <c r="B8"/>
  <c r="B35" i="7"/>
  <c r="B165" i="14"/>
  <c r="C65" i="11"/>
  <c r="D65" s="1"/>
  <c r="E65" s="1"/>
  <c r="F65" s="1"/>
  <c r="G65" s="1"/>
  <c r="H65" s="1"/>
  <c r="C40"/>
  <c r="D40" s="1"/>
  <c r="E40" s="1"/>
  <c r="F40" s="1"/>
  <c r="G40" s="1"/>
  <c r="H40" s="1"/>
  <c r="F17" i="4"/>
  <c r="F15"/>
  <c r="F12"/>
  <c r="F11"/>
  <c r="F10"/>
  <c r="F8"/>
  <c r="G4"/>
  <c r="H4" s="1"/>
  <c r="I4" s="1"/>
  <c r="J4" s="1"/>
  <c r="K4" s="1"/>
  <c r="F4"/>
  <c r="E293" i="13" l="1"/>
  <c r="E300" s="1"/>
  <c r="D29" i="16" l="1"/>
  <c r="D30"/>
  <c r="D31"/>
  <c r="D32"/>
  <c r="D28"/>
  <c r="E43"/>
  <c r="M8"/>
  <c r="C24" i="15"/>
  <c r="D24" s="1"/>
  <c r="D29" s="1"/>
  <c r="B20" i="7" s="1"/>
  <c r="D23" i="15"/>
  <c r="D22"/>
  <c r="B62" i="13"/>
  <c r="G12" i="3" l="1"/>
  <c r="H63"/>
  <c r="G63"/>
  <c r="G61"/>
  <c r="G59"/>
  <c r="G22"/>
  <c r="H48"/>
  <c r="H33"/>
  <c r="B282" i="13"/>
  <c r="F8" i="16"/>
  <c r="H8"/>
  <c r="J8"/>
  <c r="D175" i="18" l="1"/>
  <c r="D174"/>
  <c r="A150"/>
  <c r="A149"/>
  <c r="A148"/>
  <c r="E143"/>
  <c r="E175" s="1"/>
  <c r="B35"/>
  <c r="C34"/>
  <c r="D34" s="1"/>
  <c r="H27"/>
  <c r="H26"/>
  <c r="H25"/>
  <c r="D268" i="17"/>
  <c r="D267"/>
  <c r="D266"/>
  <c r="D265"/>
  <c r="A251"/>
  <c r="A250"/>
  <c r="A249"/>
  <c r="A247"/>
  <c r="A246"/>
  <c r="A245"/>
  <c r="A244"/>
  <c r="D243"/>
  <c r="D214"/>
  <c r="D205"/>
  <c r="A195"/>
  <c r="A179"/>
  <c r="A243" s="1"/>
  <c r="A138"/>
  <c r="A205" s="1"/>
  <c r="A129"/>
  <c r="E124"/>
  <c r="A70"/>
  <c r="A61"/>
  <c r="A32"/>
  <c r="I31"/>
  <c r="I84" s="1"/>
  <c r="H31"/>
  <c r="H84" s="1"/>
  <c r="G31"/>
  <c r="G84" s="1"/>
  <c r="F31"/>
  <c r="F84" s="1"/>
  <c r="E31"/>
  <c r="E84" s="1"/>
  <c r="D31"/>
  <c r="D84" s="1"/>
  <c r="C31"/>
  <c r="C84" s="1"/>
  <c r="A31"/>
  <c r="A26"/>
  <c r="D38" i="16"/>
  <c r="C38"/>
  <c r="D37"/>
  <c r="C37"/>
  <c r="D36"/>
  <c r="C36"/>
  <c r="D35"/>
  <c r="C35"/>
  <c r="F35" s="1"/>
  <c r="D34"/>
  <c r="C34"/>
  <c r="D33"/>
  <c r="C33"/>
  <c r="A32"/>
  <c r="A31"/>
  <c r="A30"/>
  <c r="A29"/>
  <c r="A28"/>
  <c r="M17"/>
  <c r="J17"/>
  <c r="F17"/>
  <c r="M16"/>
  <c r="J16"/>
  <c r="F16"/>
  <c r="M15"/>
  <c r="J15"/>
  <c r="F15"/>
  <c r="M14"/>
  <c r="J14"/>
  <c r="F14"/>
  <c r="M13"/>
  <c r="J13"/>
  <c r="F13"/>
  <c r="M12"/>
  <c r="F12"/>
  <c r="H12" s="1"/>
  <c r="M11"/>
  <c r="F11"/>
  <c r="H11" s="1"/>
  <c r="M10"/>
  <c r="F10"/>
  <c r="H10" s="1"/>
  <c r="M9"/>
  <c r="F9"/>
  <c r="H9" s="1"/>
  <c r="D32" i="15"/>
  <c r="D38" s="1"/>
  <c r="E32"/>
  <c r="E38" s="1"/>
  <c r="C30" i="7" s="1"/>
  <c r="D18" i="15"/>
  <c r="C7"/>
  <c r="D7" s="1"/>
  <c r="D179" i="14"/>
  <c r="D184" s="1"/>
  <c r="K149"/>
  <c r="E179"/>
  <c r="E184" s="1"/>
  <c r="A123"/>
  <c r="B34"/>
  <c r="C33"/>
  <c r="D33" s="1"/>
  <c r="O10" i="6"/>
  <c r="P10" s="1"/>
  <c r="Q10" s="1"/>
  <c r="R10" s="1"/>
  <c r="D293" i="13"/>
  <c r="D300" s="1"/>
  <c r="D279"/>
  <c r="A279"/>
  <c r="D278"/>
  <c r="A278"/>
  <c r="D254"/>
  <c r="A254"/>
  <c r="A253"/>
  <c r="E279"/>
  <c r="H163"/>
  <c r="G163"/>
  <c r="F163"/>
  <c r="E163"/>
  <c r="D163"/>
  <c r="C163"/>
  <c r="B163"/>
  <c r="D222" s="1"/>
  <c r="H162"/>
  <c r="G162"/>
  <c r="F162"/>
  <c r="E162"/>
  <c r="D162"/>
  <c r="C162"/>
  <c r="B162"/>
  <c r="D221" s="1"/>
  <c r="H161"/>
  <c r="G161"/>
  <c r="F161"/>
  <c r="E161"/>
  <c r="D161"/>
  <c r="C161"/>
  <c r="B161"/>
  <c r="D220" s="1"/>
  <c r="H62"/>
  <c r="G62"/>
  <c r="F62"/>
  <c r="E62"/>
  <c r="D62"/>
  <c r="C62"/>
  <c r="A33"/>
  <c r="A90" s="1"/>
  <c r="A142" s="1"/>
  <c r="A201" s="1"/>
  <c r="A255" s="1"/>
  <c r="H31"/>
  <c r="G31"/>
  <c r="F31"/>
  <c r="F88" s="1"/>
  <c r="E31"/>
  <c r="E88" s="1"/>
  <c r="D31"/>
  <c r="C31"/>
  <c r="B31"/>
  <c r="B88" s="1"/>
  <c r="A31"/>
  <c r="A88" s="1"/>
  <c r="A140" s="1"/>
  <c r="C100" i="12"/>
  <c r="D100" s="1"/>
  <c r="E100" s="1"/>
  <c r="F100" s="1"/>
  <c r="G100" s="1"/>
  <c r="H100" s="1"/>
  <c r="C74"/>
  <c r="C7" i="18" s="1"/>
  <c r="C72" i="12"/>
  <c r="D72" s="1"/>
  <c r="E72" s="1"/>
  <c r="F72" s="1"/>
  <c r="G72" s="1"/>
  <c r="H72" s="1"/>
  <c r="A70"/>
  <c r="A69"/>
  <c r="A68"/>
  <c r="A67"/>
  <c r="A66"/>
  <c r="A65"/>
  <c r="A64"/>
  <c r="A63"/>
  <c r="A62"/>
  <c r="A61"/>
  <c r="A60"/>
  <c r="A59"/>
  <c r="A58"/>
  <c r="A57"/>
  <c r="A56"/>
  <c r="A55"/>
  <c r="A54"/>
  <c r="A53"/>
  <c r="A52"/>
  <c r="A51"/>
  <c r="A50"/>
  <c r="A49"/>
  <c r="A48"/>
  <c r="A47"/>
  <c r="A46"/>
  <c r="C44"/>
  <c r="D44" s="1"/>
  <c r="E44" s="1"/>
  <c r="F44" s="1"/>
  <c r="G44" s="1"/>
  <c r="H44" s="1"/>
  <c r="V12"/>
  <c r="W12" s="1"/>
  <c r="X12" s="1"/>
  <c r="T12"/>
  <c r="P12"/>
  <c r="Q12" s="1"/>
  <c r="R12" s="1"/>
  <c r="S12" s="1"/>
  <c r="K12"/>
  <c r="L12" s="1"/>
  <c r="M12" s="1"/>
  <c r="N12" s="1"/>
  <c r="B7"/>
  <c r="B9" s="1"/>
  <c r="C30" i="17"/>
  <c r="C83" s="1"/>
  <c r="A84" i="11"/>
  <c r="A30" i="14" s="1"/>
  <c r="A54" s="1"/>
  <c r="A117" s="1"/>
  <c r="A80" i="11"/>
  <c r="A26" i="14" s="1"/>
  <c r="A50" s="1"/>
  <c r="A105" s="1"/>
  <c r="A76" i="11"/>
  <c r="A22" i="14" s="1"/>
  <c r="A46" s="1"/>
  <c r="A93" s="1"/>
  <c r="A73" i="11"/>
  <c r="A19" i="14" s="1"/>
  <c r="A43" s="1"/>
  <c r="A82" s="1"/>
  <c r="A72" i="11"/>
  <c r="A18" i="14" s="1"/>
  <c r="A42" s="1"/>
  <c r="A79" s="1"/>
  <c r="A69" i="11"/>
  <c r="A68"/>
  <c r="A62"/>
  <c r="A30" i="13" s="1"/>
  <c r="A87" s="1"/>
  <c r="A139" s="1"/>
  <c r="A197" s="1"/>
  <c r="A252" s="1"/>
  <c r="A61" i="11"/>
  <c r="A29" i="13" s="1"/>
  <c r="A86" s="1"/>
  <c r="A138" s="1"/>
  <c r="A196" s="1"/>
  <c r="A251" s="1"/>
  <c r="A60" i="11"/>
  <c r="A28" i="13" s="1"/>
  <c r="A85" s="1"/>
  <c r="A137" s="1"/>
  <c r="A195" s="1"/>
  <c r="A250" s="1"/>
  <c r="A59" i="11"/>
  <c r="A27" i="13" s="1"/>
  <c r="A84" s="1"/>
  <c r="A136" s="1"/>
  <c r="A194" s="1"/>
  <c r="A249" s="1"/>
  <c r="A58" i="11"/>
  <c r="A26" i="13" s="1"/>
  <c r="A83" s="1"/>
  <c r="A135" s="1"/>
  <c r="A193" s="1"/>
  <c r="A248" s="1"/>
  <c r="A57" i="11"/>
  <c r="A25" i="13" s="1"/>
  <c r="A82" s="1"/>
  <c r="A134" s="1"/>
  <c r="A192" s="1"/>
  <c r="A247" s="1"/>
  <c r="A56" i="11"/>
  <c r="A24" i="13" s="1"/>
  <c r="A81" s="1"/>
  <c r="A133" s="1"/>
  <c r="A191" s="1"/>
  <c r="A246" s="1"/>
  <c r="A55" i="11"/>
  <c r="A23" i="13" s="1"/>
  <c r="A80" s="1"/>
  <c r="A132" s="1"/>
  <c r="A190" s="1"/>
  <c r="A245" s="1"/>
  <c r="A54" i="11"/>
  <c r="A22" i="13" s="1"/>
  <c r="A79" s="1"/>
  <c r="A131" s="1"/>
  <c r="A189" s="1"/>
  <c r="A244" s="1"/>
  <c r="A53" i="11"/>
  <c r="A21" i="13" s="1"/>
  <c r="A78" s="1"/>
  <c r="A130" s="1"/>
  <c r="A188" s="1"/>
  <c r="A243" s="1"/>
  <c r="A52" i="11"/>
  <c r="A20" i="13" s="1"/>
  <c r="A77" s="1"/>
  <c r="A129" s="1"/>
  <c r="A187" s="1"/>
  <c r="A242" s="1"/>
  <c r="A51" i="11"/>
  <c r="A19" i="13" s="1"/>
  <c r="A76" s="1"/>
  <c r="A128" s="1"/>
  <c r="A186" s="1"/>
  <c r="A241" s="1"/>
  <c r="A50" i="11"/>
  <c r="A18" i="13" s="1"/>
  <c r="A75" s="1"/>
  <c r="A127" s="1"/>
  <c r="A185" s="1"/>
  <c r="A240" s="1"/>
  <c r="A49" i="11"/>
  <c r="A17" i="13" s="1"/>
  <c r="A74" s="1"/>
  <c r="A126" s="1"/>
  <c r="A184" s="1"/>
  <c r="A239" s="1"/>
  <c r="A48" i="11"/>
  <c r="A16" i="13" s="1"/>
  <c r="A73" s="1"/>
  <c r="A125" s="1"/>
  <c r="A183" s="1"/>
  <c r="A238" s="1"/>
  <c r="A47" i="11"/>
  <c r="A15" i="13" s="1"/>
  <c r="A72" s="1"/>
  <c r="A124" s="1"/>
  <c r="A182" s="1"/>
  <c r="A237" s="1"/>
  <c r="A46" i="11"/>
  <c r="A14" i="13" s="1"/>
  <c r="A71" s="1"/>
  <c r="A123" s="1"/>
  <c r="A181" s="1"/>
  <c r="A236" s="1"/>
  <c r="A45" i="11"/>
  <c r="A13" i="13" s="1"/>
  <c r="A70" s="1"/>
  <c r="A122" s="1"/>
  <c r="A180" s="1"/>
  <c r="A235" s="1"/>
  <c r="A44" i="11"/>
  <c r="A12" i="13" s="1"/>
  <c r="A69" s="1"/>
  <c r="A121" s="1"/>
  <c r="A179" s="1"/>
  <c r="A234" s="1"/>
  <c r="A43" i="11"/>
  <c r="A11" i="13" s="1"/>
  <c r="A68" s="1"/>
  <c r="A120" s="1"/>
  <c r="A178" s="1"/>
  <c r="A233" s="1"/>
  <c r="A42" i="11"/>
  <c r="A10" i="13" s="1"/>
  <c r="A67" s="1"/>
  <c r="A119" s="1"/>
  <c r="A177" s="1"/>
  <c r="A232" s="1"/>
  <c r="V12" i="11"/>
  <c r="W12" s="1"/>
  <c r="X12" s="1"/>
  <c r="Q12"/>
  <c r="R12" s="1"/>
  <c r="S12" s="1"/>
  <c r="T12" s="1"/>
  <c r="P12"/>
  <c r="K12"/>
  <c r="L12" s="1"/>
  <c r="M12" s="1"/>
  <c r="N12" s="1"/>
  <c r="B7"/>
  <c r="I176" i="10"/>
  <c r="H176"/>
  <c r="G176"/>
  <c r="F176"/>
  <c r="E176"/>
  <c r="D176"/>
  <c r="C176"/>
  <c r="I161"/>
  <c r="H161"/>
  <c r="G161"/>
  <c r="F161"/>
  <c r="E161"/>
  <c r="D161"/>
  <c r="C161"/>
  <c r="I146"/>
  <c r="H146"/>
  <c r="G146"/>
  <c r="F146"/>
  <c r="E146"/>
  <c r="D146"/>
  <c r="C146"/>
  <c r="I131"/>
  <c r="H131"/>
  <c r="G131"/>
  <c r="F131"/>
  <c r="E131"/>
  <c r="D131"/>
  <c r="C131"/>
  <c r="B131"/>
  <c r="B146" s="1"/>
  <c r="B161" s="1"/>
  <c r="B176" s="1"/>
  <c r="B130"/>
  <c r="B145" s="1"/>
  <c r="B160" s="1"/>
  <c r="B175" s="1"/>
  <c r="B129"/>
  <c r="B144" s="1"/>
  <c r="B159" s="1"/>
  <c r="B174" s="1"/>
  <c r="B128"/>
  <c r="B143" s="1"/>
  <c r="B158" s="1"/>
  <c r="B173" s="1"/>
  <c r="B127"/>
  <c r="B142" s="1"/>
  <c r="B157" s="1"/>
  <c r="B172" s="1"/>
  <c r="B126"/>
  <c r="B141" s="1"/>
  <c r="B156" s="1"/>
  <c r="B171" s="1"/>
  <c r="B125"/>
  <c r="B140" s="1"/>
  <c r="B155" s="1"/>
  <c r="B170" s="1"/>
  <c r="B98"/>
  <c r="B97"/>
  <c r="B96"/>
  <c r="B95"/>
  <c r="C65"/>
  <c r="D65" s="1"/>
  <c r="E65" s="1"/>
  <c r="F65" s="1"/>
  <c r="G65" s="1"/>
  <c r="H65" s="1"/>
  <c r="I65" s="1"/>
  <c r="B37"/>
  <c r="B36"/>
  <c r="B35"/>
  <c r="B34"/>
  <c r="B33"/>
  <c r="B32"/>
  <c r="B9" i="9"/>
  <c r="H28" i="8"/>
  <c r="H27"/>
  <c r="G27"/>
  <c r="F27"/>
  <c r="E27"/>
  <c r="D27"/>
  <c r="C27"/>
  <c r="B27"/>
  <c r="H43" i="7"/>
  <c r="I111" i="10" s="1"/>
  <c r="G43" i="7"/>
  <c r="H111" i="10" s="1"/>
  <c r="A23" i="7"/>
  <c r="A33" s="1"/>
  <c r="A22"/>
  <c r="A32" s="1"/>
  <c r="A21"/>
  <c r="A31" s="1"/>
  <c r="A20"/>
  <c r="A30" s="1"/>
  <c r="A19"/>
  <c r="A29" s="1"/>
  <c r="A18"/>
  <c r="A28" s="1"/>
  <c r="C52" i="6"/>
  <c r="C51"/>
  <c r="C50"/>
  <c r="C49"/>
  <c r="C48"/>
  <c r="C47"/>
  <c r="C17"/>
  <c r="C16"/>
  <c r="C15"/>
  <c r="V13"/>
  <c r="U13"/>
  <c r="O13"/>
  <c r="P13" s="1"/>
  <c r="Q13" s="1"/>
  <c r="R13" s="1"/>
  <c r="N13"/>
  <c r="V12"/>
  <c r="U12"/>
  <c r="O12"/>
  <c r="P12" s="1"/>
  <c r="Q12" s="1"/>
  <c r="R12" s="1"/>
  <c r="N12"/>
  <c r="U11"/>
  <c r="N11"/>
  <c r="V10"/>
  <c r="U10"/>
  <c r="N10"/>
  <c r="V9"/>
  <c r="U9"/>
  <c r="O9"/>
  <c r="P9" s="1"/>
  <c r="Q9" s="1"/>
  <c r="R9" s="1"/>
  <c r="N9"/>
  <c r="C9"/>
  <c r="V8"/>
  <c r="R8"/>
  <c r="Q8"/>
  <c r="P8"/>
  <c r="O8"/>
  <c r="I87" i="4"/>
  <c r="H87"/>
  <c r="A64"/>
  <c r="A63"/>
  <c r="A62"/>
  <c r="A61"/>
  <c r="E22"/>
  <c r="E21"/>
  <c r="E20"/>
  <c r="E19"/>
  <c r="E18"/>
  <c r="E17"/>
  <c r="E16"/>
  <c r="E15"/>
  <c r="E14"/>
  <c r="E13"/>
  <c r="E12"/>
  <c r="E11"/>
  <c r="E10"/>
  <c r="E9"/>
  <c r="E8"/>
  <c r="F20"/>
  <c r="D115" i="3"/>
  <c r="D10" i="2" s="1"/>
  <c r="F10" s="1"/>
  <c r="F102" i="3"/>
  <c r="F101"/>
  <c r="F100"/>
  <c r="F91"/>
  <c r="F90"/>
  <c r="F89"/>
  <c r="F88"/>
  <c r="F87"/>
  <c r="F86"/>
  <c r="F92" s="1"/>
  <c r="F77"/>
  <c r="F76"/>
  <c r="F75"/>
  <c r="F74"/>
  <c r="F73"/>
  <c r="F72"/>
  <c r="B160" i="18"/>
  <c r="G60" i="3"/>
  <c r="G58"/>
  <c r="H56"/>
  <c r="G55"/>
  <c r="G54"/>
  <c r="G53"/>
  <c r="G52"/>
  <c r="G51"/>
  <c r="G50"/>
  <c r="G47"/>
  <c r="G46"/>
  <c r="G45"/>
  <c r="G44"/>
  <c r="G43"/>
  <c r="G21"/>
  <c r="G33" s="1"/>
  <c r="G11"/>
  <c r="G10"/>
  <c r="G9"/>
  <c r="G8"/>
  <c r="G7"/>
  <c r="G6"/>
  <c r="C10" i="2"/>
  <c r="C9"/>
  <c r="C8"/>
  <c r="C7"/>
  <c r="C6"/>
  <c r="B16" i="9" s="1"/>
  <c r="C5" i="2"/>
  <c r="B15" i="9" s="1"/>
  <c r="F38" i="16" l="1"/>
  <c r="B9" i="11"/>
  <c r="D16" s="1"/>
  <c r="E56" i="16"/>
  <c r="B30" i="7"/>
  <c r="D40" i="15"/>
  <c r="D42" s="1"/>
  <c r="G48" i="3"/>
  <c r="F103"/>
  <c r="D9" i="2" s="1"/>
  <c r="C19" i="9" s="1"/>
  <c r="C34" i="14"/>
  <c r="G56" i="3"/>
  <c r="D8" i="2"/>
  <c r="F8" s="1"/>
  <c r="D30" i="17"/>
  <c r="D83" s="1"/>
  <c r="F52" i="16"/>
  <c r="F56" s="1"/>
  <c r="C31" i="7" s="1"/>
  <c r="O11" i="6"/>
  <c r="P11" s="1"/>
  <c r="Q11" s="1"/>
  <c r="R11" s="1"/>
  <c r="R16" s="1"/>
  <c r="F14" i="4"/>
  <c r="F21"/>
  <c r="A77" i="11"/>
  <c r="A23" i="14" s="1"/>
  <c r="A47" s="1"/>
  <c r="A96" s="1"/>
  <c r="A147" s="1"/>
  <c r="A162" s="1"/>
  <c r="A81" i="11"/>
  <c r="A27" i="14" s="1"/>
  <c r="A51" s="1"/>
  <c r="A108" s="1"/>
  <c r="A85" i="11"/>
  <c r="A31" i="14" s="1"/>
  <c r="A55" s="1"/>
  <c r="A120" s="1"/>
  <c r="C44" i="16"/>
  <c r="H44" s="1"/>
  <c r="E36"/>
  <c r="D273" i="17"/>
  <c r="B32" i="7" s="1"/>
  <c r="D5" i="2"/>
  <c r="C15" i="9" s="1"/>
  <c r="F9" i="4"/>
  <c r="F18"/>
  <c r="A70" i="11"/>
  <c r="A16" i="14" s="1"/>
  <c r="A40" s="1"/>
  <c r="A71" s="1"/>
  <c r="A74" i="11"/>
  <c r="A20" i="14" s="1"/>
  <c r="A44" s="1"/>
  <c r="A85" s="1"/>
  <c r="A78" i="11"/>
  <c r="A24" i="14" s="1"/>
  <c r="A48" s="1"/>
  <c r="A99" s="1"/>
  <c r="A82" i="11"/>
  <c r="A28" i="14" s="1"/>
  <c r="A52" s="1"/>
  <c r="A111" s="1"/>
  <c r="A86" i="11"/>
  <c r="A111" s="1"/>
  <c r="A29" i="17" s="1"/>
  <c r="A150" s="1"/>
  <c r="A217" s="1"/>
  <c r="E221" i="13"/>
  <c r="E35" i="16"/>
  <c r="F13" i="4"/>
  <c r="F22"/>
  <c r="H31" i="8"/>
  <c r="A67" i="11"/>
  <c r="A71"/>
  <c r="A17" i="14" s="1"/>
  <c r="A41" s="1"/>
  <c r="A74" s="1"/>
  <c r="A75" i="11"/>
  <c r="A21" i="14" s="1"/>
  <c r="A45" s="1"/>
  <c r="A89" s="1"/>
  <c r="A79" i="11"/>
  <c r="A25" i="14" s="1"/>
  <c r="A49" s="1"/>
  <c r="A102" s="1"/>
  <c r="A83" i="11"/>
  <c r="A29" i="14" s="1"/>
  <c r="A53" s="1"/>
  <c r="A114" s="1"/>
  <c r="A87" i="11"/>
  <c r="A112" s="1"/>
  <c r="A30" i="17" s="1"/>
  <c r="A151" s="1"/>
  <c r="A218" s="1"/>
  <c r="D179" i="18"/>
  <c r="B33" i="7" s="1"/>
  <c r="C35" i="18"/>
  <c r="E24" i="15"/>
  <c r="C8"/>
  <c r="E16" s="1"/>
  <c r="E18" s="1"/>
  <c r="C10" i="7" s="1"/>
  <c r="B10"/>
  <c r="C142" i="10" s="1"/>
  <c r="E38" i="6"/>
  <c r="E22" i="15"/>
  <c r="E23"/>
  <c r="E220" i="13"/>
  <c r="E222"/>
  <c r="E254"/>
  <c r="E278"/>
  <c r="D88"/>
  <c r="D140" s="1"/>
  <c r="H88"/>
  <c r="H140" s="1"/>
  <c r="C88"/>
  <c r="E253" s="1"/>
  <c r="G88"/>
  <c r="I12" i="10"/>
  <c r="C86" i="4"/>
  <c r="C87" s="1"/>
  <c r="J12" i="10"/>
  <c r="C61" i="4"/>
  <c r="D86"/>
  <c r="E86"/>
  <c r="C20" i="9"/>
  <c r="F86" i="4"/>
  <c r="V11" i="6"/>
  <c r="V16" s="1"/>
  <c r="G21" i="4"/>
  <c r="G9"/>
  <c r="G20"/>
  <c r="G8"/>
  <c r="C55"/>
  <c r="F78" i="3"/>
  <c r="D7" i="2" s="1"/>
  <c r="F9"/>
  <c r="E23" i="4"/>
  <c r="G86"/>
  <c r="D38" i="12"/>
  <c r="C32"/>
  <c r="D22"/>
  <c r="D18"/>
  <c r="D37"/>
  <c r="D21"/>
  <c r="D17"/>
  <c r="D40"/>
  <c r="D20"/>
  <c r="D16"/>
  <c r="A34" i="13"/>
  <c r="A91" s="1"/>
  <c r="A143" s="1"/>
  <c r="A202" s="1"/>
  <c r="A256" s="1"/>
  <c r="A74" i="12"/>
  <c r="A36" i="13"/>
  <c r="A93" s="1"/>
  <c r="A145" s="1"/>
  <c r="A204" s="1"/>
  <c r="A258" s="1"/>
  <c r="A76" i="12"/>
  <c r="A38" i="13"/>
  <c r="A95" s="1"/>
  <c r="A147" s="1"/>
  <c r="A206" s="1"/>
  <c r="A260" s="1"/>
  <c r="A78" i="12"/>
  <c r="A40" i="13"/>
  <c r="A97" s="1"/>
  <c r="A149" s="1"/>
  <c r="A208" s="1"/>
  <c r="A262" s="1"/>
  <c r="A80" i="12"/>
  <c r="A42" i="13"/>
  <c r="A99" s="1"/>
  <c r="A151" s="1"/>
  <c r="A210" s="1"/>
  <c r="A264" s="1"/>
  <c r="A82" i="12"/>
  <c r="A44" i="13"/>
  <c r="A101" s="1"/>
  <c r="A153" s="1"/>
  <c r="A212" s="1"/>
  <c r="A266" s="1"/>
  <c r="A84" i="12"/>
  <c r="A46" i="13"/>
  <c r="A103" s="1"/>
  <c r="A155" s="1"/>
  <c r="A214" s="1"/>
  <c r="A268" s="1"/>
  <c r="A86" i="12"/>
  <c r="A48" i="13"/>
  <c r="A105" s="1"/>
  <c r="A157" s="1"/>
  <c r="A216" s="1"/>
  <c r="A270" s="1"/>
  <c r="A88" i="12"/>
  <c r="A50" i="13"/>
  <c r="A107" s="1"/>
  <c r="A159" s="1"/>
  <c r="A218" s="1"/>
  <c r="A272" s="1"/>
  <c r="A90" i="12"/>
  <c r="A52" i="13"/>
  <c r="A109" s="1"/>
  <c r="A161" s="1"/>
  <c r="A220" s="1"/>
  <c r="A92" i="12"/>
  <c r="A54" i="13"/>
  <c r="A111" s="1"/>
  <c r="A163" s="1"/>
  <c r="A222" s="1"/>
  <c r="A94" i="12"/>
  <c r="A96"/>
  <c r="A56" i="13"/>
  <c r="A113" s="1"/>
  <c r="A165" s="1"/>
  <c r="A224" s="1"/>
  <c r="A275" s="1"/>
  <c r="A98" i="12"/>
  <c r="A58" i="13"/>
  <c r="A115" s="1"/>
  <c r="A167" s="1"/>
  <c r="A226" s="1"/>
  <c r="A277" s="1"/>
  <c r="C38" i="18"/>
  <c r="G140" i="13"/>
  <c r="D39" i="12"/>
  <c r="F19" i="4"/>
  <c r="D15" i="12"/>
  <c r="A83" i="17"/>
  <c r="A35" i="13"/>
  <c r="A92" s="1"/>
  <c r="A144" s="1"/>
  <c r="A203" s="1"/>
  <c r="A257" s="1"/>
  <c r="A75" i="12"/>
  <c r="A37" i="13"/>
  <c r="A94" s="1"/>
  <c r="A146" s="1"/>
  <c r="A205" s="1"/>
  <c r="A259" s="1"/>
  <c r="A77" i="12"/>
  <c r="A39" i="13"/>
  <c r="A96" s="1"/>
  <c r="A148" s="1"/>
  <c r="A207" s="1"/>
  <c r="A261" s="1"/>
  <c r="A79" i="12"/>
  <c r="A41" i="13"/>
  <c r="A98" s="1"/>
  <c r="A150" s="1"/>
  <c r="A209" s="1"/>
  <c r="A263" s="1"/>
  <c r="A81" i="12"/>
  <c r="A43" i="13"/>
  <c r="A100" s="1"/>
  <c r="A152" s="1"/>
  <c r="A211" s="1"/>
  <c r="A265" s="1"/>
  <c r="A83" i="12"/>
  <c r="A45" i="13"/>
  <c r="A102" s="1"/>
  <c r="A154" s="1"/>
  <c r="A213" s="1"/>
  <c r="A267" s="1"/>
  <c r="A85" i="12"/>
  <c r="A47" i="13"/>
  <c r="A104" s="1"/>
  <c r="A156" s="1"/>
  <c r="A215" s="1"/>
  <c r="A269" s="1"/>
  <c r="A87" i="12"/>
  <c r="A49" i="13"/>
  <c r="A106" s="1"/>
  <c r="A158" s="1"/>
  <c r="A217" s="1"/>
  <c r="A271" s="1"/>
  <c r="A89" i="12"/>
  <c r="A51" i="13"/>
  <c r="A108" s="1"/>
  <c r="A160" s="1"/>
  <c r="A219" s="1"/>
  <c r="A273" s="1"/>
  <c r="A91" i="12"/>
  <c r="A93"/>
  <c r="A53" i="13"/>
  <c r="A110" s="1"/>
  <c r="A162" s="1"/>
  <c r="A221" s="1"/>
  <c r="A95" i="12"/>
  <c r="A55" i="13"/>
  <c r="A112" s="1"/>
  <c r="A164" s="1"/>
  <c r="A223" s="1"/>
  <c r="A274" s="1"/>
  <c r="A97" i="12"/>
  <c r="A57" i="13"/>
  <c r="A114" s="1"/>
  <c r="A166" s="1"/>
  <c r="A225" s="1"/>
  <c r="A276" s="1"/>
  <c r="F16" i="4"/>
  <c r="I61" i="10"/>
  <c r="J97"/>
  <c r="D19" i="12"/>
  <c r="A13" i="14"/>
  <c r="A37" s="1"/>
  <c r="A58" s="1"/>
  <c r="A92" i="11"/>
  <c r="A9" i="17" s="1"/>
  <c r="A14" i="14"/>
  <c r="A38" s="1"/>
  <c r="A62" s="1"/>
  <c r="A93" i="11"/>
  <c r="A10" i="17" s="1"/>
  <c r="A15" i="14"/>
  <c r="A39" s="1"/>
  <c r="A66" s="1"/>
  <c r="A94" i="11"/>
  <c r="A11" i="17" s="1"/>
  <c r="A96" i="11"/>
  <c r="A13" i="17" s="1"/>
  <c r="H61" i="10"/>
  <c r="I97"/>
  <c r="D14" i="12"/>
  <c r="C23"/>
  <c r="D218" i="17"/>
  <c r="D151"/>
  <c r="D253" i="13"/>
  <c r="B140"/>
  <c r="D198" s="1"/>
  <c r="F140"/>
  <c r="D34" i="14"/>
  <c r="E33"/>
  <c r="A97" i="11"/>
  <c r="A14" i="17" s="1"/>
  <c r="A98" i="11"/>
  <c r="A15" i="17" s="1"/>
  <c r="A99" i="11"/>
  <c r="A16" i="17" s="1"/>
  <c r="A100" i="11"/>
  <c r="A101"/>
  <c r="A18" i="17" s="1"/>
  <c r="A103" i="11"/>
  <c r="A20" i="17" s="1"/>
  <c r="A104" i="11"/>
  <c r="A21" i="17" s="1"/>
  <c r="A105" i="11"/>
  <c r="A22" i="17" s="1"/>
  <c r="A107" i="11"/>
  <c r="A24" i="17" s="1"/>
  <c r="A108" i="11"/>
  <c r="A25" i="17" s="1"/>
  <c r="A109" i="11"/>
  <c r="A27" i="17" s="1"/>
  <c r="A110" i="11"/>
  <c r="A28" i="17" s="1"/>
  <c r="E140" i="13"/>
  <c r="J9" i="16"/>
  <c r="C29"/>
  <c r="J11"/>
  <c r="C31"/>
  <c r="G52"/>
  <c r="G56" s="1"/>
  <c r="D31" i="7" s="1"/>
  <c r="G38" i="16"/>
  <c r="G37"/>
  <c r="G34"/>
  <c r="D8" i="15"/>
  <c r="E7"/>
  <c r="E33" i="16"/>
  <c r="F33"/>
  <c r="E219" i="17"/>
  <c r="E152"/>
  <c r="E34" i="18"/>
  <c r="D35"/>
  <c r="H38" i="16"/>
  <c r="E38"/>
  <c r="H33"/>
  <c r="F34"/>
  <c r="C28"/>
  <c r="C30"/>
  <c r="J10"/>
  <c r="C32"/>
  <c r="J12"/>
  <c r="E37"/>
  <c r="F37"/>
  <c r="A152" i="17"/>
  <c r="A219" s="1"/>
  <c r="A84"/>
  <c r="A153"/>
  <c r="A220" s="1"/>
  <c r="A85"/>
  <c r="F222" i="13"/>
  <c r="G33" i="16"/>
  <c r="H34"/>
  <c r="E34"/>
  <c r="A147" i="17"/>
  <c r="A214" s="1"/>
  <c r="A79"/>
  <c r="H35" i="16"/>
  <c r="G36"/>
  <c r="D219" i="17"/>
  <c r="D152"/>
  <c r="G35" i="16"/>
  <c r="F36"/>
  <c r="E268" i="17"/>
  <c r="E267"/>
  <c r="E266"/>
  <c r="E205"/>
  <c r="F124"/>
  <c r="F152" s="1"/>
  <c r="E265"/>
  <c r="E214"/>
  <c r="E243"/>
  <c r="F143" i="18"/>
  <c r="E174"/>
  <c r="E179" s="1"/>
  <c r="C33" i="7" s="1"/>
  <c r="B31" l="1"/>
  <c r="D17" i="11"/>
  <c r="D14"/>
  <c r="J18" s="1"/>
  <c r="D19"/>
  <c r="F19" s="1"/>
  <c r="H19" s="1"/>
  <c r="F16"/>
  <c r="H16" s="1"/>
  <c r="D20"/>
  <c r="F20" s="1"/>
  <c r="H20" s="1"/>
  <c r="D15"/>
  <c r="F15" s="1"/>
  <c r="H15" s="1"/>
  <c r="D18"/>
  <c r="F18" s="1"/>
  <c r="H18" s="1"/>
  <c r="C23"/>
  <c r="D24" s="1"/>
  <c r="Q16" i="6"/>
  <c r="C172" i="10"/>
  <c r="D6" i="2"/>
  <c r="C43" i="4" s="1"/>
  <c r="G44" i="16"/>
  <c r="C43"/>
  <c r="F44"/>
  <c r="E44"/>
  <c r="E49" s="1"/>
  <c r="B21" i="7" s="1"/>
  <c r="P16" i="6"/>
  <c r="O16"/>
  <c r="D21" i="11"/>
  <c r="D22"/>
  <c r="C18" i="9"/>
  <c r="B43" i="7"/>
  <c r="C111" i="10" s="1"/>
  <c r="F5" i="2"/>
  <c r="C37" i="4"/>
  <c r="C38" s="1"/>
  <c r="G18"/>
  <c r="G11"/>
  <c r="G14"/>
  <c r="G19"/>
  <c r="G10"/>
  <c r="G22"/>
  <c r="G15"/>
  <c r="A106" i="11"/>
  <c r="A23" i="17" s="1"/>
  <c r="A102" i="11"/>
  <c r="A19" i="17" s="1"/>
  <c r="A72" s="1"/>
  <c r="A95" i="11"/>
  <c r="A12" i="17" s="1"/>
  <c r="F23" i="4"/>
  <c r="C35" i="7" s="1"/>
  <c r="A82" i="17"/>
  <c r="G12" i="4"/>
  <c r="G13"/>
  <c r="G16"/>
  <c r="G17"/>
  <c r="F179" i="14"/>
  <c r="F184" s="1"/>
  <c r="C34" i="10"/>
  <c r="D34"/>
  <c r="D142"/>
  <c r="F38" i="6"/>
  <c r="D157" i="10"/>
  <c r="C157"/>
  <c r="D127"/>
  <c r="D172"/>
  <c r="C127"/>
  <c r="E29" i="15"/>
  <c r="C140" i="13"/>
  <c r="F198" s="1"/>
  <c r="E51" i="6"/>
  <c r="F22" i="15"/>
  <c r="F32"/>
  <c r="F38" s="1"/>
  <c r="D30" i="7" s="1"/>
  <c r="F23" i="15"/>
  <c r="F24"/>
  <c r="A141" i="17"/>
  <c r="A208" s="1"/>
  <c r="A73"/>
  <c r="A25" i="18"/>
  <c r="A120" i="12"/>
  <c r="A51" i="17" s="1"/>
  <c r="A17" i="18"/>
  <c r="A48" s="1"/>
  <c r="A100" s="1"/>
  <c r="A112" i="12"/>
  <c r="A43" i="17" s="1"/>
  <c r="A9" i="18"/>
  <c r="A40" s="1"/>
  <c r="A69" s="1"/>
  <c r="A104" i="12"/>
  <c r="A35" i="17" s="1"/>
  <c r="B109" i="12"/>
  <c r="F21"/>
  <c r="H21" s="1"/>
  <c r="F43" i="7"/>
  <c r="G87" i="4"/>
  <c r="F268" i="17"/>
  <c r="F243"/>
  <c r="F267"/>
  <c r="F205"/>
  <c r="G124"/>
  <c r="F266"/>
  <c r="F265"/>
  <c r="F214"/>
  <c r="E8" i="15"/>
  <c r="F7"/>
  <c r="H31" i="16"/>
  <c r="E31"/>
  <c r="F31"/>
  <c r="G31"/>
  <c r="A146" i="17"/>
  <c r="A213" s="1"/>
  <c r="A78"/>
  <c r="A142"/>
  <c r="A209" s="1"/>
  <c r="A74"/>
  <c r="B102" i="12"/>
  <c r="L14"/>
  <c r="F74" s="1"/>
  <c r="F7" i="18" s="1"/>
  <c r="F14" i="12"/>
  <c r="H14" s="1"/>
  <c r="M14"/>
  <c r="G74" s="1"/>
  <c r="G7" i="18" s="1"/>
  <c r="N14" i="12"/>
  <c r="H74" s="1"/>
  <c r="H7" i="18" s="1"/>
  <c r="J14" i="12"/>
  <c r="D74" s="1"/>
  <c r="D7" i="18" s="1"/>
  <c r="K14" i="12"/>
  <c r="E74" s="1"/>
  <c r="E7" i="18" s="1"/>
  <c r="A133" i="17"/>
  <c r="A200" s="1"/>
  <c r="A65"/>
  <c r="A131"/>
  <c r="A198" s="1"/>
  <c r="A63"/>
  <c r="N14" i="11"/>
  <c r="J14"/>
  <c r="C9" i="17"/>
  <c r="C62" s="1"/>
  <c r="A22" i="18"/>
  <c r="A53" s="1"/>
  <c r="A114" s="1"/>
  <c r="A117" i="12"/>
  <c r="A48" i="17" s="1"/>
  <c r="A18" i="18"/>
  <c r="A49" s="1"/>
  <c r="A104" s="1"/>
  <c r="A113" i="12"/>
  <c r="A44" i="17" s="1"/>
  <c r="A14" i="18"/>
  <c r="A45" s="1"/>
  <c r="A88" s="1"/>
  <c r="A109" i="12"/>
  <c r="A40" i="17" s="1"/>
  <c r="A10" i="18"/>
  <c r="A41" s="1"/>
  <c r="A73" s="1"/>
  <c r="A105" i="12"/>
  <c r="A36" i="17" s="1"/>
  <c r="E30"/>
  <c r="E83" s="1"/>
  <c r="A31" i="18"/>
  <c r="A59" s="1"/>
  <c r="A129" s="1"/>
  <c r="A126" i="12"/>
  <c r="A57" i="17" s="1"/>
  <c r="B105" i="12"/>
  <c r="F17"/>
  <c r="H17" s="1"/>
  <c r="B110"/>
  <c r="F22"/>
  <c r="H22" s="1"/>
  <c r="C43" i="7"/>
  <c r="D87" i="4"/>
  <c r="F220" i="13"/>
  <c r="F293"/>
  <c r="F300" s="1"/>
  <c r="F279"/>
  <c r="F278"/>
  <c r="G198"/>
  <c r="F254"/>
  <c r="F30" i="16"/>
  <c r="G30"/>
  <c r="E30"/>
  <c r="H30"/>
  <c r="A145" i="17"/>
  <c r="A212" s="1"/>
  <c r="A77"/>
  <c r="A137"/>
  <c r="A204" s="1"/>
  <c r="A69"/>
  <c r="A30" i="18"/>
  <c r="A58" s="1"/>
  <c r="A125" s="1"/>
  <c r="A125" i="12"/>
  <c r="A56" i="17" s="1"/>
  <c r="A26" i="18"/>
  <c r="A121" i="12"/>
  <c r="A52" i="17" s="1"/>
  <c r="E218"/>
  <c r="E151"/>
  <c r="B103" i="12"/>
  <c r="F15"/>
  <c r="H15" s="1"/>
  <c r="A21" i="18"/>
  <c r="A52" s="1"/>
  <c r="A113" s="1"/>
  <c r="A116" i="12"/>
  <c r="A47" i="17" s="1"/>
  <c r="A13" i="18"/>
  <c r="A44" s="1"/>
  <c r="A85" s="1"/>
  <c r="A108" i="12"/>
  <c r="A39" i="17" s="1"/>
  <c r="B104" i="12"/>
  <c r="F16"/>
  <c r="H16" s="1"/>
  <c r="D34"/>
  <c r="D33"/>
  <c r="D36"/>
  <c r="D35"/>
  <c r="E43" i="7"/>
  <c r="F87" i="4"/>
  <c r="G143" i="18"/>
  <c r="F175"/>
  <c r="F174"/>
  <c r="F32" i="16"/>
  <c r="G32"/>
  <c r="E32"/>
  <c r="H32"/>
  <c r="F28"/>
  <c r="G28"/>
  <c r="E28"/>
  <c r="H28"/>
  <c r="F34" i="18"/>
  <c r="E35"/>
  <c r="H52" i="16"/>
  <c r="H56" s="1"/>
  <c r="E31" i="7" s="1"/>
  <c r="I30" i="16"/>
  <c r="H37"/>
  <c r="H36"/>
  <c r="A148" i="17"/>
  <c r="A215" s="1"/>
  <c r="A80"/>
  <c r="A143"/>
  <c r="A210" s="1"/>
  <c r="A75"/>
  <c r="A139"/>
  <c r="A206" s="1"/>
  <c r="A71"/>
  <c r="A135"/>
  <c r="A202" s="1"/>
  <c r="A67"/>
  <c r="D28" i="12"/>
  <c r="D24"/>
  <c r="D31"/>
  <c r="D27"/>
  <c r="D30"/>
  <c r="D26"/>
  <c r="D29"/>
  <c r="D25"/>
  <c r="A28" i="18"/>
  <c r="A56" s="1"/>
  <c r="A117" s="1"/>
  <c r="A123" i="12"/>
  <c r="A54" i="17" s="1"/>
  <c r="A27" i="18"/>
  <c r="A122" i="12"/>
  <c r="A53" i="17" s="1"/>
  <c r="A23" i="18"/>
  <c r="A54" s="1"/>
  <c r="A115" s="1"/>
  <c r="A118" i="12"/>
  <c r="A49" i="17" s="1"/>
  <c r="A19" i="18"/>
  <c r="A50" s="1"/>
  <c r="A108" s="1"/>
  <c r="A114" i="12"/>
  <c r="A45" i="17" s="1"/>
  <c r="A15" i="18"/>
  <c r="A46" s="1"/>
  <c r="A92" s="1"/>
  <c r="A110" i="12"/>
  <c r="A41" i="17" s="1"/>
  <c r="A11" i="18"/>
  <c r="A42" s="1"/>
  <c r="A77" s="1"/>
  <c r="A106" i="12"/>
  <c r="A37" i="17" s="1"/>
  <c r="A7" i="18"/>
  <c r="A38" s="1"/>
  <c r="A61" s="1"/>
  <c r="A102" i="12"/>
  <c r="A33" i="17" s="1"/>
  <c r="B126" i="12"/>
  <c r="F40"/>
  <c r="H40" s="1"/>
  <c r="B106"/>
  <c r="F18"/>
  <c r="H18" s="1"/>
  <c r="C17" i="9"/>
  <c r="C49" i="4"/>
  <c r="F7" i="2"/>
  <c r="D97" i="10"/>
  <c r="C61"/>
  <c r="D12"/>
  <c r="F56" i="4"/>
  <c r="G56"/>
  <c r="C56"/>
  <c r="C57" s="1"/>
  <c r="H56"/>
  <c r="D56"/>
  <c r="K55"/>
  <c r="E56"/>
  <c r="I56"/>
  <c r="D43" i="7"/>
  <c r="E87" i="4"/>
  <c r="H62"/>
  <c r="D62"/>
  <c r="I62"/>
  <c r="E62"/>
  <c r="F62"/>
  <c r="C62"/>
  <c r="C63" s="1"/>
  <c r="G62"/>
  <c r="K61"/>
  <c r="E38"/>
  <c r="D38"/>
  <c r="F16" i="15"/>
  <c r="F18" s="1"/>
  <c r="F253" i="13"/>
  <c r="E273" i="17"/>
  <c r="C32" i="7" s="1"/>
  <c r="F219" i="17"/>
  <c r="F221" i="13"/>
  <c r="H29" i="16"/>
  <c r="E29"/>
  <c r="F29"/>
  <c r="G29"/>
  <c r="A149" i="17"/>
  <c r="A216" s="1"/>
  <c r="A81"/>
  <c r="A144"/>
  <c r="A211" s="1"/>
  <c r="A76"/>
  <c r="A136"/>
  <c r="A203" s="1"/>
  <c r="A68"/>
  <c r="F33" i="14"/>
  <c r="E34"/>
  <c r="F17" i="11"/>
  <c r="H17" s="1"/>
  <c r="A134" i="17"/>
  <c r="A201" s="1"/>
  <c r="A66"/>
  <c r="A132"/>
  <c r="A199" s="1"/>
  <c r="A64"/>
  <c r="A130"/>
  <c r="A197" s="1"/>
  <c r="A62"/>
  <c r="B107" i="12"/>
  <c r="F19"/>
  <c r="H19" s="1"/>
  <c r="A24" i="18"/>
  <c r="A55" s="1"/>
  <c r="A116" s="1"/>
  <c r="A119" i="12"/>
  <c r="A50" i="17" s="1"/>
  <c r="A20" i="18"/>
  <c r="A51" s="1"/>
  <c r="A112" s="1"/>
  <c r="A115" i="12"/>
  <c r="A46" i="17" s="1"/>
  <c r="A16" i="18"/>
  <c r="A47" s="1"/>
  <c r="A96" s="1"/>
  <c r="A111" i="12"/>
  <c r="A42" i="17" s="1"/>
  <c r="A12" i="18"/>
  <c r="A43" s="1"/>
  <c r="A81" s="1"/>
  <c r="A107" i="12"/>
  <c r="A38" i="17" s="1"/>
  <c r="A8" i="18"/>
  <c r="A39" s="1"/>
  <c r="A65" s="1"/>
  <c r="A103" i="12"/>
  <c r="A34" i="17" s="1"/>
  <c r="B125" i="12"/>
  <c r="F39"/>
  <c r="H39" s="1"/>
  <c r="A29" i="18"/>
  <c r="A57" s="1"/>
  <c r="A121" s="1"/>
  <c r="A124" i="12"/>
  <c r="A55" i="17" s="1"/>
  <c r="B108" i="12"/>
  <c r="F20"/>
  <c r="H20" s="1"/>
  <c r="B123"/>
  <c r="F37"/>
  <c r="H37" s="1"/>
  <c r="B124"/>
  <c r="F38"/>
  <c r="H38" s="1"/>
  <c r="B18" i="8"/>
  <c r="E57" i="16" l="1"/>
  <c r="D31" i="11"/>
  <c r="F14"/>
  <c r="H14" s="1"/>
  <c r="B67" s="1"/>
  <c r="M14"/>
  <c r="D25"/>
  <c r="F25" s="1"/>
  <c r="H25" s="1"/>
  <c r="D30"/>
  <c r="D27"/>
  <c r="F27" s="1"/>
  <c r="H27" s="1"/>
  <c r="L14"/>
  <c r="K14"/>
  <c r="D26"/>
  <c r="F26" s="1"/>
  <c r="H26" s="1"/>
  <c r="B44"/>
  <c r="B39" i="14"/>
  <c r="B68" s="1"/>
  <c r="D146" s="1"/>
  <c r="D28" i="11"/>
  <c r="D29"/>
  <c r="F29" s="1"/>
  <c r="H29" s="1"/>
  <c r="E39" i="16"/>
  <c r="E198" i="13"/>
  <c r="C64" i="4"/>
  <c r="F38"/>
  <c r="C65"/>
  <c r="B13" i="8" s="1"/>
  <c r="D34" i="11"/>
  <c r="D33"/>
  <c r="D36"/>
  <c r="D35"/>
  <c r="F35" s="1"/>
  <c r="H35" s="1"/>
  <c r="F22"/>
  <c r="H22" s="1"/>
  <c r="F21"/>
  <c r="H21" s="1"/>
  <c r="G23" i="4"/>
  <c r="D35" i="7" s="1"/>
  <c r="C39" i="4"/>
  <c r="H38"/>
  <c r="G38"/>
  <c r="C18" i="8"/>
  <c r="D18" s="1"/>
  <c r="E18" s="1"/>
  <c r="F18" s="1"/>
  <c r="G18" s="1"/>
  <c r="H18" s="1"/>
  <c r="I38" i="4"/>
  <c r="K37"/>
  <c r="C16" i="9"/>
  <c r="B71" i="11"/>
  <c r="B46"/>
  <c r="A140" i="17"/>
  <c r="A207" s="1"/>
  <c r="I29" i="16"/>
  <c r="F6" i="2"/>
  <c r="G179" i="14"/>
  <c r="G184" s="1"/>
  <c r="C13" i="17"/>
  <c r="C66" s="1"/>
  <c r="H8" i="4"/>
  <c r="H19"/>
  <c r="H15"/>
  <c r="H11"/>
  <c r="H10"/>
  <c r="H13"/>
  <c r="H16"/>
  <c r="H18"/>
  <c r="H17"/>
  <c r="H22"/>
  <c r="H9"/>
  <c r="H20"/>
  <c r="H21"/>
  <c r="H14"/>
  <c r="H12"/>
  <c r="F179" i="18"/>
  <c r="D33" i="7" s="1"/>
  <c r="F29" i="15"/>
  <c r="F40" s="1"/>
  <c r="F42" s="1"/>
  <c r="E40"/>
  <c r="E42" s="1"/>
  <c r="C20" i="7"/>
  <c r="F51" i="6"/>
  <c r="G16" i="15"/>
  <c r="G18" s="1"/>
  <c r="E10" i="7" s="1"/>
  <c r="D57" i="4"/>
  <c r="D63"/>
  <c r="B67" i="12"/>
  <c r="B95"/>
  <c r="C55" i="17"/>
  <c r="C108" s="1"/>
  <c r="C124" i="12"/>
  <c r="C38" i="17"/>
  <c r="C91" s="1"/>
  <c r="C107" i="12"/>
  <c r="A86" i="17"/>
  <c r="A154"/>
  <c r="A221" s="1"/>
  <c r="A102"/>
  <c r="A170"/>
  <c r="A237" s="1"/>
  <c r="F28" i="11"/>
  <c r="H28" s="1"/>
  <c r="B111" i="12"/>
  <c r="F24"/>
  <c r="H24" s="1"/>
  <c r="B49"/>
  <c r="B77"/>
  <c r="A93" i="17"/>
  <c r="A161"/>
  <c r="A228" s="1"/>
  <c r="H97" i="10"/>
  <c r="G111"/>
  <c r="H12"/>
  <c r="G61"/>
  <c r="G23" i="15"/>
  <c r="G22"/>
  <c r="G32"/>
  <c r="G38" s="1"/>
  <c r="E30" i="7" s="1"/>
  <c r="G24" i="15"/>
  <c r="B68" i="12"/>
  <c r="B96"/>
  <c r="B52"/>
  <c r="B80"/>
  <c r="B69"/>
  <c r="B97"/>
  <c r="A91" i="17"/>
  <c r="A159"/>
  <c r="A226" s="1"/>
  <c r="A99"/>
  <c r="A167"/>
  <c r="A234" s="1"/>
  <c r="B51" i="12"/>
  <c r="B79"/>
  <c r="D10" i="7"/>
  <c r="G38" i="6"/>
  <c r="K38" i="4"/>
  <c r="K39" s="1"/>
  <c r="C57" i="17"/>
  <c r="C110" s="1"/>
  <c r="C126" i="12"/>
  <c r="F31" i="11"/>
  <c r="H31" s="1"/>
  <c r="F30"/>
  <c r="H30" s="1"/>
  <c r="B116" i="12"/>
  <c r="F29"/>
  <c r="H29" s="1"/>
  <c r="B118"/>
  <c r="F31"/>
  <c r="H31" s="1"/>
  <c r="F35" i="18"/>
  <c r="F38" s="1"/>
  <c r="G34"/>
  <c r="B119" i="12"/>
  <c r="F33"/>
  <c r="H33" s="1"/>
  <c r="A92" i="17"/>
  <c r="A160"/>
  <c r="A227" s="1"/>
  <c r="B47" i="12"/>
  <c r="B75"/>
  <c r="A105" i="17"/>
  <c r="A173"/>
  <c r="C15"/>
  <c r="C68" s="1"/>
  <c r="G254" i="13"/>
  <c r="G293"/>
  <c r="G300" s="1"/>
  <c r="G279"/>
  <c r="G278"/>
  <c r="G220"/>
  <c r="G221"/>
  <c r="G253"/>
  <c r="G222"/>
  <c r="C41" i="17"/>
  <c r="C94" s="1"/>
  <c r="C110" i="12"/>
  <c r="C33" i="17"/>
  <c r="C86" s="1"/>
  <c r="C102" i="12"/>
  <c r="G7" i="15"/>
  <c r="F8"/>
  <c r="H16" s="1"/>
  <c r="H18" s="1"/>
  <c r="A88" i="17"/>
  <c r="A156"/>
  <c r="A223" s="1"/>
  <c r="A104"/>
  <c r="A172"/>
  <c r="F44" i="4"/>
  <c r="G44"/>
  <c r="C44"/>
  <c r="C45" s="1"/>
  <c r="D44"/>
  <c r="K43"/>
  <c r="H44"/>
  <c r="E44"/>
  <c r="I44"/>
  <c r="I28" i="16"/>
  <c r="C40" i="4"/>
  <c r="D37" s="1"/>
  <c r="D40" s="1"/>
  <c r="E37" s="1"/>
  <c r="E40" s="1"/>
  <c r="F37" s="1"/>
  <c r="F40" s="1"/>
  <c r="G37" s="1"/>
  <c r="D61"/>
  <c r="D64" s="1"/>
  <c r="E61" s="1"/>
  <c r="E64" s="1"/>
  <c r="F61" s="1"/>
  <c r="F64" s="1"/>
  <c r="G61" s="1"/>
  <c r="G64" s="1"/>
  <c r="H61" s="1"/>
  <c r="H64" s="1"/>
  <c r="I61" s="1"/>
  <c r="I64" s="1"/>
  <c r="C58"/>
  <c r="D55" s="1"/>
  <c r="D58" s="1"/>
  <c r="E55" s="1"/>
  <c r="E58" s="1"/>
  <c r="F55" s="1"/>
  <c r="F58" s="1"/>
  <c r="G55" s="1"/>
  <c r="G58" s="1"/>
  <c r="H55" s="1"/>
  <c r="H58" s="1"/>
  <c r="I55" s="1"/>
  <c r="I58" s="1"/>
  <c r="G39" i="16"/>
  <c r="I32"/>
  <c r="I43"/>
  <c r="F43"/>
  <c r="F49" s="1"/>
  <c r="G43"/>
  <c r="G49" s="1"/>
  <c r="H43"/>
  <c r="H49" s="1"/>
  <c r="C39" i="17"/>
  <c r="C92" s="1"/>
  <c r="C108" i="12"/>
  <c r="C56" i="17"/>
  <c r="C109" s="1"/>
  <c r="C125" i="12"/>
  <c r="B50"/>
  <c r="B78"/>
  <c r="A94" i="17"/>
  <c r="A162"/>
  <c r="A229" s="1"/>
  <c r="A107"/>
  <c r="A175"/>
  <c r="A239" s="1"/>
  <c r="B113" i="12"/>
  <c r="F26"/>
  <c r="H26" s="1"/>
  <c r="I52" i="16"/>
  <c r="I56" s="1"/>
  <c r="F31" i="7" s="1"/>
  <c r="I36" i="16"/>
  <c r="J43"/>
  <c r="I35"/>
  <c r="I44"/>
  <c r="I38"/>
  <c r="I34"/>
  <c r="I33"/>
  <c r="I37"/>
  <c r="F61" i="10"/>
  <c r="G12"/>
  <c r="F111"/>
  <c r="G97"/>
  <c r="B120" i="12"/>
  <c r="F34"/>
  <c r="H34" s="1"/>
  <c r="C34" i="17"/>
  <c r="C87" s="1"/>
  <c r="C103" i="12"/>
  <c r="B73" i="11"/>
  <c r="B48"/>
  <c r="F30" i="17"/>
  <c r="F83" s="1"/>
  <c r="A101"/>
  <c r="A169"/>
  <c r="A236" s="1"/>
  <c r="G265"/>
  <c r="G214"/>
  <c r="G268"/>
  <c r="G243"/>
  <c r="G266"/>
  <c r="G205"/>
  <c r="H124"/>
  <c r="G267"/>
  <c r="G219"/>
  <c r="G152"/>
  <c r="C54"/>
  <c r="C107" s="1"/>
  <c r="C123" i="12"/>
  <c r="C14" i="17"/>
  <c r="C67" s="1"/>
  <c r="B70" i="11"/>
  <c r="B45"/>
  <c r="G33" i="14"/>
  <c r="F34"/>
  <c r="K56" i="4"/>
  <c r="K57" s="1"/>
  <c r="F50"/>
  <c r="G50"/>
  <c r="C50"/>
  <c r="C52" s="1"/>
  <c r="H50"/>
  <c r="K49"/>
  <c r="D50"/>
  <c r="I50"/>
  <c r="E50"/>
  <c r="B70" i="12"/>
  <c r="B98"/>
  <c r="A90" i="17"/>
  <c r="A158"/>
  <c r="A225" s="1"/>
  <c r="A98"/>
  <c r="A166"/>
  <c r="A233" s="1"/>
  <c r="A106"/>
  <c r="A174"/>
  <c r="F24" i="11"/>
  <c r="H24" s="1"/>
  <c r="B112" i="12"/>
  <c r="F25"/>
  <c r="H25" s="1"/>
  <c r="B114"/>
  <c r="F27"/>
  <c r="H27" s="1"/>
  <c r="B122"/>
  <c r="F36"/>
  <c r="H36" s="1"/>
  <c r="C35" i="17"/>
  <c r="C88" s="1"/>
  <c r="C104" i="12"/>
  <c r="B54"/>
  <c r="B82"/>
  <c r="A110" i="17"/>
  <c r="A178"/>
  <c r="A242" s="1"/>
  <c r="A89"/>
  <c r="A157"/>
  <c r="A224" s="1"/>
  <c r="A97"/>
  <c r="A165"/>
  <c r="A232" s="1"/>
  <c r="C11"/>
  <c r="C64" s="1"/>
  <c r="B42" i="11"/>
  <c r="B10" i="13" s="1"/>
  <c r="D38" i="18"/>
  <c r="C40" i="17"/>
  <c r="C93" s="1"/>
  <c r="C109" i="12"/>
  <c r="C10" i="17"/>
  <c r="C63" s="1"/>
  <c r="F273"/>
  <c r="D32" i="7" s="1"/>
  <c r="A108" i="17"/>
  <c r="A176"/>
  <c r="A240" s="1"/>
  <c r="A87"/>
  <c r="A155"/>
  <c r="A222" s="1"/>
  <c r="A95"/>
  <c r="A163"/>
  <c r="A230" s="1"/>
  <c r="A103"/>
  <c r="A171"/>
  <c r="A238" s="1"/>
  <c r="B72" i="11"/>
  <c r="B47"/>
  <c r="C12" i="17"/>
  <c r="C65" s="1"/>
  <c r="K62" i="4"/>
  <c r="K63" s="1"/>
  <c r="E111" i="10"/>
  <c r="F97"/>
  <c r="E61"/>
  <c r="F12"/>
  <c r="C37" i="17"/>
  <c r="C90" s="1"/>
  <c r="C106" i="12"/>
  <c r="B117"/>
  <c r="F30"/>
  <c r="H30" s="1"/>
  <c r="B115"/>
  <c r="F28"/>
  <c r="H28" s="1"/>
  <c r="G174" i="18"/>
  <c r="H143"/>
  <c r="G175"/>
  <c r="B121" i="12"/>
  <c r="F35"/>
  <c r="H35" s="1"/>
  <c r="B48"/>
  <c r="B76"/>
  <c r="A100" i="17"/>
  <c r="A168"/>
  <c r="A235" s="1"/>
  <c r="A109"/>
  <c r="A177"/>
  <c r="A241" s="1"/>
  <c r="D111" i="10"/>
  <c r="E97"/>
  <c r="D61"/>
  <c r="E12"/>
  <c r="C36" i="17"/>
  <c r="C89" s="1"/>
  <c r="C105" i="12"/>
  <c r="F151" i="17"/>
  <c r="F218"/>
  <c r="E38" i="18"/>
  <c r="B46" i="12"/>
  <c r="B74"/>
  <c r="B7" i="18" s="1"/>
  <c r="B53" i="12"/>
  <c r="B81"/>
  <c r="A96" i="17"/>
  <c r="A164"/>
  <c r="A231" s="1"/>
  <c r="B68" i="11"/>
  <c r="B43"/>
  <c r="D39" i="4"/>
  <c r="E39" s="1"/>
  <c r="F39" s="1"/>
  <c r="E63"/>
  <c r="F63" s="1"/>
  <c r="G63" s="1"/>
  <c r="H63" s="1"/>
  <c r="I63" s="1"/>
  <c r="E57"/>
  <c r="F57" s="1"/>
  <c r="G57" s="1"/>
  <c r="H57" s="1"/>
  <c r="I57" s="1"/>
  <c r="H39" i="16"/>
  <c r="F39"/>
  <c r="I31"/>
  <c r="B67" i="14" l="1"/>
  <c r="B12" i="13"/>
  <c r="C44" i="11"/>
  <c r="D44" s="1"/>
  <c r="E44" s="1"/>
  <c r="F44" s="1"/>
  <c r="G44" s="1"/>
  <c r="H44" s="1"/>
  <c r="B69" i="14"/>
  <c r="G39" i="4"/>
  <c r="H39" s="1"/>
  <c r="I39" s="1"/>
  <c r="G40"/>
  <c r="H37" s="1"/>
  <c r="H40" s="1"/>
  <c r="I37" s="1"/>
  <c r="I40" s="1"/>
  <c r="E66"/>
  <c r="D14" i="8" s="1"/>
  <c r="F12" i="2"/>
  <c r="E19" s="1"/>
  <c r="C9" i="9" s="1"/>
  <c r="G273" i="17"/>
  <c r="E32" i="7" s="1"/>
  <c r="B86" i="11"/>
  <c r="C86" s="1"/>
  <c r="D86" s="1"/>
  <c r="E86" s="1"/>
  <c r="F86" s="1"/>
  <c r="G86" s="1"/>
  <c r="H86" s="1"/>
  <c r="B61"/>
  <c r="B74"/>
  <c r="B49"/>
  <c r="F36"/>
  <c r="H36" s="1"/>
  <c r="C16" i="17"/>
  <c r="C69" s="1"/>
  <c r="F33" i="11"/>
  <c r="H33" s="1"/>
  <c r="B50"/>
  <c r="B75"/>
  <c r="F34"/>
  <c r="H34" s="1"/>
  <c r="G66" i="4"/>
  <c r="F42" i="7" s="1"/>
  <c r="G51" i="6"/>
  <c r="H38"/>
  <c r="I66" i="4"/>
  <c r="H42" i="7" s="1"/>
  <c r="D20"/>
  <c r="D45" i="4"/>
  <c r="E45" s="1"/>
  <c r="F45" s="1"/>
  <c r="G45" s="1"/>
  <c r="H45" s="1"/>
  <c r="I45" s="1"/>
  <c r="H23"/>
  <c r="E35" i="7" s="1"/>
  <c r="D134" i="17"/>
  <c r="D201"/>
  <c r="H179" i="14"/>
  <c r="H184" s="1"/>
  <c r="B14" i="13"/>
  <c r="B71" s="1"/>
  <c r="C46" i="11"/>
  <c r="D66" i="4"/>
  <c r="C42" i="7" s="1"/>
  <c r="K40" i="4"/>
  <c r="L37" s="1"/>
  <c r="L38" s="1"/>
  <c r="L39" s="1"/>
  <c r="I15"/>
  <c r="I14"/>
  <c r="I17"/>
  <c r="I8"/>
  <c r="I22"/>
  <c r="I13"/>
  <c r="I19"/>
  <c r="I18"/>
  <c r="I21"/>
  <c r="I20"/>
  <c r="I11"/>
  <c r="I10"/>
  <c r="I12"/>
  <c r="I9"/>
  <c r="I16"/>
  <c r="D13" i="17"/>
  <c r="D66" s="1"/>
  <c r="C71" i="11"/>
  <c r="B17" i="14"/>
  <c r="B41" s="1"/>
  <c r="G179" i="18"/>
  <c r="E33" i="7" s="1"/>
  <c r="H66" i="4"/>
  <c r="G42" i="7" s="1"/>
  <c r="F66" i="4"/>
  <c r="E14" i="8" s="1"/>
  <c r="C48" i="17"/>
  <c r="C101" s="1"/>
  <c r="C117" i="12"/>
  <c r="B11" i="7"/>
  <c r="E35" i="6"/>
  <c r="B38" i="13"/>
  <c r="B95" s="1"/>
  <c r="C50" i="12"/>
  <c r="D242" i="17"/>
  <c r="D178"/>
  <c r="B13" i="18"/>
  <c r="B44" s="1"/>
  <c r="C80" i="12"/>
  <c r="D130" i="17"/>
  <c r="D197"/>
  <c r="D37"/>
  <c r="D90" s="1"/>
  <c r="D106" i="12"/>
  <c r="H267" i="17"/>
  <c r="H266"/>
  <c r="H265"/>
  <c r="H214"/>
  <c r="H243"/>
  <c r="H268"/>
  <c r="H205"/>
  <c r="I124"/>
  <c r="H219"/>
  <c r="H152"/>
  <c r="D222"/>
  <c r="D155"/>
  <c r="B57" i="12"/>
  <c r="B85"/>
  <c r="B11" i="18"/>
  <c r="B42" s="1"/>
  <c r="C78" i="12"/>
  <c r="D56" i="17"/>
  <c r="D109" s="1"/>
  <c r="D125" i="12"/>
  <c r="D33" i="17"/>
  <c r="D86" s="1"/>
  <c r="D102" i="12"/>
  <c r="D41" i="17"/>
  <c r="D94" s="1"/>
  <c r="D110" i="12"/>
  <c r="G35" i="18"/>
  <c r="G38" s="1"/>
  <c r="H34"/>
  <c r="H35" s="1"/>
  <c r="H38" s="1"/>
  <c r="B60" i="12"/>
  <c r="B88"/>
  <c r="C25" i="17"/>
  <c r="C78" s="1"/>
  <c r="D57"/>
  <c r="D110" s="1"/>
  <c r="D126" i="12"/>
  <c r="B39" i="13"/>
  <c r="B96" s="1"/>
  <c r="C51" i="12"/>
  <c r="B57" i="13"/>
  <c r="B114" s="1"/>
  <c r="C69" i="12"/>
  <c r="B56" i="13"/>
  <c r="B113" s="1"/>
  <c r="C68" i="12"/>
  <c r="C42" i="17"/>
  <c r="C95" s="1"/>
  <c r="C111" i="12"/>
  <c r="C22" i="17"/>
  <c r="C75" s="1"/>
  <c r="D226"/>
  <c r="D159"/>
  <c r="D240"/>
  <c r="D176"/>
  <c r="B55" i="13"/>
  <c r="B112" s="1"/>
  <c r="C67" i="12"/>
  <c r="G29" i="15"/>
  <c r="B14" i="18"/>
  <c r="B45" s="1"/>
  <c r="C81" i="12"/>
  <c r="B9" i="18"/>
  <c r="B40" s="1"/>
  <c r="C76" i="12"/>
  <c r="B81" i="11"/>
  <c r="B56"/>
  <c r="B15" i="13"/>
  <c r="B72" s="1"/>
  <c r="C47" i="11"/>
  <c r="D198" i="17"/>
  <c r="D131"/>
  <c r="C53"/>
  <c r="C106" s="1"/>
  <c r="D174" s="1"/>
  <c r="C122" i="12"/>
  <c r="C18" i="17"/>
  <c r="C71" s="1"/>
  <c r="G34" i="14"/>
  <c r="H33"/>
  <c r="H34" s="1"/>
  <c r="G30" i="17"/>
  <c r="G83" s="1"/>
  <c r="B16" i="13"/>
  <c r="B73" s="1"/>
  <c r="C48" i="11"/>
  <c r="D241" i="17"/>
  <c r="D177"/>
  <c r="H57" i="16"/>
  <c r="H59" s="1"/>
  <c r="E21" i="7"/>
  <c r="H48" i="6"/>
  <c r="E59" i="16"/>
  <c r="E48" i="6"/>
  <c r="D221" i="17"/>
  <c r="D154"/>
  <c r="C47"/>
  <c r="C100" s="1"/>
  <c r="C116" i="12"/>
  <c r="F172" i="10"/>
  <c r="F157"/>
  <c r="F127"/>
  <c r="F34"/>
  <c r="F142"/>
  <c r="B10" i="18"/>
  <c r="B41" s="1"/>
  <c r="C77" i="12"/>
  <c r="E11" i="7"/>
  <c r="H35" i="6"/>
  <c r="B61" i="12"/>
  <c r="B89"/>
  <c r="B94"/>
  <c r="B66"/>
  <c r="C66" s="1"/>
  <c r="D66" s="1"/>
  <c r="E66" s="1"/>
  <c r="F66" s="1"/>
  <c r="G66" s="1"/>
  <c r="H66" s="1"/>
  <c r="B76" i="11"/>
  <c r="B51"/>
  <c r="D49" i="4"/>
  <c r="C11" i="7"/>
  <c r="F35" i="6"/>
  <c r="B38" i="18"/>
  <c r="D9" i="17"/>
  <c r="D62" s="1"/>
  <c r="B93" i="12"/>
  <c r="B65"/>
  <c r="C65" s="1"/>
  <c r="D65" s="1"/>
  <c r="E65" s="1"/>
  <c r="F65" s="1"/>
  <c r="G65" s="1"/>
  <c r="H65" s="1"/>
  <c r="H175" i="18"/>
  <c r="H174"/>
  <c r="I143"/>
  <c r="C46" i="17"/>
  <c r="C99" s="1"/>
  <c r="C115" i="12"/>
  <c r="B79" i="11"/>
  <c r="B54"/>
  <c r="D12" i="17"/>
  <c r="D65" s="1"/>
  <c r="D228"/>
  <c r="D161"/>
  <c r="D132"/>
  <c r="D199"/>
  <c r="B42" i="13"/>
  <c r="B99" s="1"/>
  <c r="C54" i="12"/>
  <c r="D223" i="17"/>
  <c r="D156"/>
  <c r="C45"/>
  <c r="C98" s="1"/>
  <c r="C114" i="12"/>
  <c r="B78" i="11"/>
  <c r="B53"/>
  <c r="B58" i="13"/>
  <c r="B115" s="1"/>
  <c r="C70" i="12"/>
  <c r="B16" i="14"/>
  <c r="B40" s="1"/>
  <c r="D159" s="1"/>
  <c r="C70" i="11"/>
  <c r="D239" i="17"/>
  <c r="D175"/>
  <c r="D34"/>
  <c r="D87" s="1"/>
  <c r="D103" i="12"/>
  <c r="C19" i="17"/>
  <c r="C72" s="1"/>
  <c r="D227"/>
  <c r="D160"/>
  <c r="F57" i="16"/>
  <c r="F59" s="1"/>
  <c r="C21" i="7"/>
  <c r="F48" i="6"/>
  <c r="D11" i="7"/>
  <c r="G35" i="6"/>
  <c r="K44" i="4"/>
  <c r="K45" s="1"/>
  <c r="H7" i="15"/>
  <c r="H8" s="1"/>
  <c r="G8"/>
  <c r="C69" i="11"/>
  <c r="H254" i="13"/>
  <c r="H278"/>
  <c r="H222"/>
  <c r="H221"/>
  <c r="H220"/>
  <c r="H293"/>
  <c r="H300" s="1"/>
  <c r="H279"/>
  <c r="H253"/>
  <c r="H198"/>
  <c r="D203" i="17"/>
  <c r="D136"/>
  <c r="B35" i="13"/>
  <c r="B92" s="1"/>
  <c r="C47" i="12"/>
  <c r="C50" i="17"/>
  <c r="C103" s="1"/>
  <c r="C119" i="12"/>
  <c r="C49" i="17"/>
  <c r="C102" s="1"/>
  <c r="C118" i="12"/>
  <c r="B82" i="11"/>
  <c r="B57"/>
  <c r="E157" i="10"/>
  <c r="E142"/>
  <c r="E172"/>
  <c r="E127"/>
  <c r="E34"/>
  <c r="B12" i="18"/>
  <c r="B43" s="1"/>
  <c r="C79" i="12"/>
  <c r="B30" i="18"/>
  <c r="B58" s="1"/>
  <c r="C97" i="12"/>
  <c r="B29" i="18"/>
  <c r="B57" s="1"/>
  <c r="C96" i="12"/>
  <c r="B55"/>
  <c r="B83"/>
  <c r="B80" i="11"/>
  <c r="B55"/>
  <c r="D38" i="17"/>
  <c r="D91" s="1"/>
  <c r="D107" i="12"/>
  <c r="D55" i="17"/>
  <c r="D108" s="1"/>
  <c r="D124" i="12"/>
  <c r="B28" i="18"/>
  <c r="B56" s="1"/>
  <c r="C95" i="12"/>
  <c r="K64" i="4"/>
  <c r="L61" s="1"/>
  <c r="K58"/>
  <c r="L55" s="1"/>
  <c r="I39" i="16"/>
  <c r="C46" i="4"/>
  <c r="D43" s="1"/>
  <c r="D46" s="1"/>
  <c r="E43" s="1"/>
  <c r="E46" s="1"/>
  <c r="F43" s="1"/>
  <c r="F46" s="1"/>
  <c r="G43" s="1"/>
  <c r="G46" s="1"/>
  <c r="H43" s="1"/>
  <c r="H46" s="1"/>
  <c r="I43" s="1"/>
  <c r="I46" s="1"/>
  <c r="B11" i="13"/>
  <c r="B68" s="1"/>
  <c r="C43" i="11"/>
  <c r="D36" i="17"/>
  <c r="D89" s="1"/>
  <c r="D105" i="12"/>
  <c r="D225" i="17"/>
  <c r="D158"/>
  <c r="B13" i="14"/>
  <c r="C67" i="11"/>
  <c r="C43" i="17"/>
  <c r="C96" s="1"/>
  <c r="C112" i="12"/>
  <c r="D202" i="17"/>
  <c r="D135"/>
  <c r="B64" i="12"/>
  <c r="C64" s="1"/>
  <c r="D64" s="1"/>
  <c r="E64" s="1"/>
  <c r="F64" s="1"/>
  <c r="G64" s="1"/>
  <c r="H64" s="1"/>
  <c r="B92"/>
  <c r="J52" i="16"/>
  <c r="J56" s="1"/>
  <c r="G31" i="7" s="1"/>
  <c r="J35" i="16"/>
  <c r="J36"/>
  <c r="J33"/>
  <c r="J37"/>
  <c r="J34"/>
  <c r="J38"/>
  <c r="J44"/>
  <c r="J49" s="1"/>
  <c r="J30"/>
  <c r="J32"/>
  <c r="J28"/>
  <c r="J29"/>
  <c r="J31"/>
  <c r="C44" i="17"/>
  <c r="C97" s="1"/>
  <c r="C113" i="12"/>
  <c r="D229" i="17"/>
  <c r="D162"/>
  <c r="B83" i="11"/>
  <c r="B58"/>
  <c r="B34" i="13"/>
  <c r="C46" i="12"/>
  <c r="C52" i="17"/>
  <c r="C105" s="1"/>
  <c r="D173" s="1"/>
  <c r="C121" i="12"/>
  <c r="C23" i="17"/>
  <c r="C76" s="1"/>
  <c r="D200"/>
  <c r="D133"/>
  <c r="D10"/>
  <c r="D63" s="1"/>
  <c r="C42" i="11"/>
  <c r="B56" i="12"/>
  <c r="B84"/>
  <c r="K50" i="4"/>
  <c r="K65"/>
  <c r="D14" i="17"/>
  <c r="D67" s="1"/>
  <c r="B14" i="14"/>
  <c r="B38" s="1"/>
  <c r="C68" i="11"/>
  <c r="B41" i="13"/>
  <c r="B98" s="1"/>
  <c r="C53" i="12"/>
  <c r="D224" i="17"/>
  <c r="D157"/>
  <c r="B36" i="13"/>
  <c r="B93" s="1"/>
  <c r="C48" i="12"/>
  <c r="B59"/>
  <c r="B87"/>
  <c r="C21" i="17"/>
  <c r="C74" s="1"/>
  <c r="B18" i="14"/>
  <c r="B42" s="1"/>
  <c r="C72" i="11"/>
  <c r="D40" i="17"/>
  <c r="D93" s="1"/>
  <c r="D109" i="12"/>
  <c r="D11" i="17"/>
  <c r="D64" s="1"/>
  <c r="B15" i="18"/>
  <c r="B46" s="1"/>
  <c r="C82" i="12"/>
  <c r="D35" i="17"/>
  <c r="D88" s="1"/>
  <c r="D104" i="12"/>
  <c r="B58"/>
  <c r="B86"/>
  <c r="C20" i="17"/>
  <c r="C73" s="1"/>
  <c r="B31" i="18"/>
  <c r="B59" s="1"/>
  <c r="C98" i="12"/>
  <c r="C66" i="4"/>
  <c r="C51"/>
  <c r="C67" s="1"/>
  <c r="B13" i="13"/>
  <c r="B70" s="1"/>
  <c r="C45" i="11"/>
  <c r="D54" i="17"/>
  <c r="D107" s="1"/>
  <c r="D123" i="12"/>
  <c r="G218" i="17"/>
  <c r="G151"/>
  <c r="C73" i="11"/>
  <c r="B19" i="14"/>
  <c r="B43" s="1"/>
  <c r="C51" i="17"/>
  <c r="C104" s="1"/>
  <c r="D172" s="1"/>
  <c r="C120" i="12"/>
  <c r="B77" i="11"/>
  <c r="B52"/>
  <c r="D39" i="17"/>
  <c r="D92" s="1"/>
  <c r="D108" i="12"/>
  <c r="G57" i="16"/>
  <c r="G59" s="1"/>
  <c r="D21" i="7"/>
  <c r="G48" i="6"/>
  <c r="F10" i="7"/>
  <c r="I38" i="6"/>
  <c r="B69" i="13"/>
  <c r="D234" s="1"/>
  <c r="D15" i="17"/>
  <c r="D68" s="1"/>
  <c r="B8" i="18"/>
  <c r="B39" s="1"/>
  <c r="C75" i="12"/>
  <c r="B63"/>
  <c r="B91"/>
  <c r="B62"/>
  <c r="B90"/>
  <c r="C24" i="17"/>
  <c r="C77" s="1"/>
  <c r="B40" i="13"/>
  <c r="B97" s="1"/>
  <c r="C52" i="12"/>
  <c r="H23" i="15"/>
  <c r="H22"/>
  <c r="H32"/>
  <c r="H38" s="1"/>
  <c r="F30" i="7" s="1"/>
  <c r="H24" i="15"/>
  <c r="B37" i="13"/>
  <c r="B94" s="1"/>
  <c r="C49" i="12"/>
  <c r="I49" i="16"/>
  <c r="D145" i="14" l="1"/>
  <c r="D167"/>
  <c r="D168"/>
  <c r="D160"/>
  <c r="B63"/>
  <c r="D142" s="1"/>
  <c r="D157"/>
  <c r="D42" i="7"/>
  <c r="D96" i="4" s="1"/>
  <c r="H14" i="8"/>
  <c r="B34"/>
  <c r="C34" s="1"/>
  <c r="D34" s="1"/>
  <c r="E34" s="1"/>
  <c r="F34" s="1"/>
  <c r="G34" s="1"/>
  <c r="H34" s="1"/>
  <c r="F14"/>
  <c r="C14"/>
  <c r="B21" i="14"/>
  <c r="B45" s="1"/>
  <c r="C75" i="11"/>
  <c r="D16" i="17"/>
  <c r="D69" s="1"/>
  <c r="B17" i="13"/>
  <c r="B74" s="1"/>
  <c r="C49" i="11"/>
  <c r="B60"/>
  <c r="B85"/>
  <c r="B18" i="13"/>
  <c r="B75" s="1"/>
  <c r="C50" i="11"/>
  <c r="D204" i="17"/>
  <c r="D137"/>
  <c r="C74" i="11"/>
  <c r="B20" i="14"/>
  <c r="B44" s="1"/>
  <c r="C27" i="17"/>
  <c r="C80" s="1"/>
  <c r="C29"/>
  <c r="C82" s="1"/>
  <c r="B29" i="13"/>
  <c r="B86" s="1"/>
  <c r="C61" i="11"/>
  <c r="C28" i="17"/>
  <c r="C81" s="1"/>
  <c r="B84" i="11"/>
  <c r="B59"/>
  <c r="B87"/>
  <c r="C87" s="1"/>
  <c r="D87" s="1"/>
  <c r="E87" s="1"/>
  <c r="F87" s="1"/>
  <c r="G87" s="1"/>
  <c r="H87" s="1"/>
  <c r="B62"/>
  <c r="I23" i="4"/>
  <c r="F35" i="7" s="1"/>
  <c r="I179" i="14"/>
  <c r="I184" s="1"/>
  <c r="J179"/>
  <c r="J184" s="1"/>
  <c r="D71" i="11"/>
  <c r="C17" i="14"/>
  <c r="C41" s="1"/>
  <c r="J16" i="4"/>
  <c r="J15"/>
  <c r="J9"/>
  <c r="J21"/>
  <c r="J8"/>
  <c r="J22"/>
  <c r="J18"/>
  <c r="J10"/>
  <c r="J20"/>
  <c r="J19"/>
  <c r="J14"/>
  <c r="J12"/>
  <c r="J11"/>
  <c r="J13"/>
  <c r="J17"/>
  <c r="G14" i="8"/>
  <c r="E42" i="7"/>
  <c r="G96" i="10" s="1"/>
  <c r="E201" i="17"/>
  <c r="E134"/>
  <c r="C14" i="13"/>
  <c r="C71" s="1"/>
  <c r="D46" i="11"/>
  <c r="E13" i="17"/>
  <c r="E66" s="1"/>
  <c r="D236" i="13"/>
  <c r="B123"/>
  <c r="D181" s="1"/>
  <c r="L40" i="4"/>
  <c r="M37" s="1"/>
  <c r="M38" s="1"/>
  <c r="M39" s="1"/>
  <c r="K46"/>
  <c r="L43" s="1"/>
  <c r="L44" s="1"/>
  <c r="L46" s="1"/>
  <c r="M43" s="1"/>
  <c r="G127" i="10"/>
  <c r="G34"/>
  <c r="G172"/>
  <c r="G142"/>
  <c r="G157"/>
  <c r="C19" i="14"/>
  <c r="C43" s="1"/>
  <c r="D73" i="11"/>
  <c r="B46" i="13"/>
  <c r="B103" s="1"/>
  <c r="C58" i="12"/>
  <c r="B150" i="13"/>
  <c r="D209" s="1"/>
  <c r="D263"/>
  <c r="E10" i="17"/>
  <c r="E63" s="1"/>
  <c r="L62" i="4"/>
  <c r="L63" s="1"/>
  <c r="D233" i="17"/>
  <c r="D166"/>
  <c r="B25" i="14"/>
  <c r="B49" s="1"/>
  <c r="C79" i="11"/>
  <c r="D65" i="4"/>
  <c r="C13" i="8" s="1"/>
  <c r="D52" i="4"/>
  <c r="C10" i="18"/>
  <c r="C41" s="1"/>
  <c r="D77" i="12"/>
  <c r="D238" i="13"/>
  <c r="B125"/>
  <c r="D183" s="1"/>
  <c r="D22" i="17"/>
  <c r="D75" s="1"/>
  <c r="C57" i="13"/>
  <c r="C114" s="1"/>
  <c r="D69" i="12"/>
  <c r="E41" i="17"/>
  <c r="E94" s="1"/>
  <c r="E110" i="12"/>
  <c r="I268" i="17"/>
  <c r="I267"/>
  <c r="I266"/>
  <c r="I265"/>
  <c r="I214"/>
  <c r="I205"/>
  <c r="J124"/>
  <c r="I243"/>
  <c r="I152"/>
  <c r="I219"/>
  <c r="J57" i="16"/>
  <c r="G21" i="7"/>
  <c r="J48" i="6"/>
  <c r="B24" i="18"/>
  <c r="B55" s="1"/>
  <c r="C91" i="12"/>
  <c r="B20" i="13"/>
  <c r="B77" s="1"/>
  <c r="C52" i="11"/>
  <c r="E11" i="17"/>
  <c r="E64" s="1"/>
  <c r="B44" i="13"/>
  <c r="B101" s="1"/>
  <c r="C56" i="12"/>
  <c r="D233" i="13"/>
  <c r="B120"/>
  <c r="D178" s="1"/>
  <c r="C35"/>
  <c r="C92" s="1"/>
  <c r="D47" i="12"/>
  <c r="D19" i="17"/>
  <c r="D72" s="1"/>
  <c r="C16" i="14"/>
  <c r="C40" s="1"/>
  <c r="E159" s="1"/>
  <c r="D70" i="11"/>
  <c r="D45" i="17"/>
  <c r="D98" s="1"/>
  <c r="D114" i="12"/>
  <c r="C42" i="13"/>
  <c r="C99" s="1"/>
  <c r="D54" i="12"/>
  <c r="B22" i="13"/>
  <c r="B79" s="1"/>
  <c r="C54" i="11"/>
  <c r="B22" i="18"/>
  <c r="B53" s="1"/>
  <c r="C89" i="12"/>
  <c r="C16" i="13"/>
  <c r="C73" s="1"/>
  <c r="D48" i="11"/>
  <c r="D18" i="17"/>
  <c r="D71" s="1"/>
  <c r="B24" i="13"/>
  <c r="B81" s="1"/>
  <c r="C56" i="11"/>
  <c r="C14" i="18"/>
  <c r="C45" s="1"/>
  <c r="D81" i="12"/>
  <c r="B164" i="13"/>
  <c r="D223" s="1"/>
  <c r="D274"/>
  <c r="D230" i="17"/>
  <c r="D163"/>
  <c r="B165" i="13"/>
  <c r="D224" s="1"/>
  <c r="D275"/>
  <c r="B148"/>
  <c r="D207" s="1"/>
  <c r="D261"/>
  <c r="D213" i="17"/>
  <c r="D146"/>
  <c r="E241"/>
  <c r="E177"/>
  <c r="B45" i="13"/>
  <c r="B102" s="1"/>
  <c r="C57" i="12"/>
  <c r="E225" i="17"/>
  <c r="E158"/>
  <c r="C13" i="18"/>
  <c r="C44" s="1"/>
  <c r="D80" i="12"/>
  <c r="D236" i="17"/>
  <c r="D169"/>
  <c r="C68" i="4"/>
  <c r="H273" i="17"/>
  <c r="F32" i="7" s="1"/>
  <c r="C37" i="13"/>
  <c r="C94" s="1"/>
  <c r="D49" i="12"/>
  <c r="E203" i="17"/>
  <c r="E136"/>
  <c r="E175"/>
  <c r="E239"/>
  <c r="D209"/>
  <c r="D142"/>
  <c r="E202"/>
  <c r="E135"/>
  <c r="D23"/>
  <c r="D76" s="1"/>
  <c r="K52" i="16"/>
  <c r="K56" s="1"/>
  <c r="H31" i="7" s="1"/>
  <c r="K38" i="16"/>
  <c r="K34"/>
  <c r="K33"/>
  <c r="K37"/>
  <c r="K35"/>
  <c r="K36"/>
  <c r="K44"/>
  <c r="K29"/>
  <c r="K31"/>
  <c r="K28"/>
  <c r="K30"/>
  <c r="K32"/>
  <c r="K43"/>
  <c r="D43" i="17"/>
  <c r="D96" s="1"/>
  <c r="D112" i="12"/>
  <c r="C13" i="14"/>
  <c r="D67" i="11"/>
  <c r="E36" i="17"/>
  <c r="E89" s="1"/>
  <c r="E105" i="12"/>
  <c r="E55" i="17"/>
  <c r="E108" s="1"/>
  <c r="E124" i="12"/>
  <c r="B144" i="13"/>
  <c r="D203" s="1"/>
  <c r="D257"/>
  <c r="B73" i="14"/>
  <c r="B72"/>
  <c r="D144" s="1"/>
  <c r="D110" i="10"/>
  <c r="D60"/>
  <c r="E96"/>
  <c r="C96" i="4"/>
  <c r="E11" i="10"/>
  <c r="B27" i="18"/>
  <c r="C94" i="12"/>
  <c r="B49" i="13"/>
  <c r="B106" s="1"/>
  <c r="C61" i="12"/>
  <c r="C36" i="13"/>
  <c r="C93" s="1"/>
  <c r="D48" i="12"/>
  <c r="E14" i="17"/>
  <c r="E67" s="1"/>
  <c r="D232"/>
  <c r="D165"/>
  <c r="H110" i="10"/>
  <c r="I96"/>
  <c r="H60"/>
  <c r="I11"/>
  <c r="G96" i="4"/>
  <c r="D161" i="18"/>
  <c r="B119"/>
  <c r="B136" s="1"/>
  <c r="D149" s="1"/>
  <c r="B118"/>
  <c r="B135" s="1"/>
  <c r="D158"/>
  <c r="D157"/>
  <c r="B120"/>
  <c r="B137" s="1"/>
  <c r="D150" s="1"/>
  <c r="B149" i="13"/>
  <c r="D208" s="1"/>
  <c r="D262"/>
  <c r="B50"/>
  <c r="B107" s="1"/>
  <c r="C62" i="12"/>
  <c r="B121" i="13"/>
  <c r="D179" s="1"/>
  <c r="E227" i="17"/>
  <c r="E160"/>
  <c r="D235" i="13"/>
  <c r="B122"/>
  <c r="D180" s="1"/>
  <c r="B42" i="7"/>
  <c r="C110" i="10" s="1"/>
  <c r="B14" i="8"/>
  <c r="B15" s="1"/>
  <c r="D208" i="17"/>
  <c r="D141"/>
  <c r="E223"/>
  <c r="E156"/>
  <c r="E228"/>
  <c r="E161"/>
  <c r="D158" i="14"/>
  <c r="B81"/>
  <c r="B80"/>
  <c r="B47" i="13"/>
  <c r="B104" s="1"/>
  <c r="C59" i="12"/>
  <c r="B64" i="14"/>
  <c r="B17" i="18"/>
  <c r="B48" s="1"/>
  <c r="C84" i="12"/>
  <c r="C10" i="13"/>
  <c r="D42" i="11"/>
  <c r="D52" i="17"/>
  <c r="D105" s="1"/>
  <c r="E173" s="1"/>
  <c r="D121" i="12"/>
  <c r="C34" i="13"/>
  <c r="D46" i="12"/>
  <c r="D44" i="17"/>
  <c r="D97" s="1"/>
  <c r="D113" i="12"/>
  <c r="B25" i="18"/>
  <c r="C92" i="12"/>
  <c r="C11" i="13"/>
  <c r="C68" s="1"/>
  <c r="D43" i="11"/>
  <c r="C28" i="18"/>
  <c r="C56" s="1"/>
  <c r="D95" i="12"/>
  <c r="E38" i="17"/>
  <c r="E91" s="1"/>
  <c r="E107" i="12"/>
  <c r="B16" i="18"/>
  <c r="B47" s="1"/>
  <c r="C83" i="12"/>
  <c r="C29" i="18"/>
  <c r="C57" s="1"/>
  <c r="D96" i="12"/>
  <c r="C12" i="18"/>
  <c r="C43" s="1"/>
  <c r="D79" i="12"/>
  <c r="B28" i="14"/>
  <c r="B52" s="1"/>
  <c r="C82" i="11"/>
  <c r="D238" i="17"/>
  <c r="D171"/>
  <c r="I254" i="13"/>
  <c r="I278"/>
  <c r="I293"/>
  <c r="I300" s="1"/>
  <c r="I279"/>
  <c r="I222"/>
  <c r="I221"/>
  <c r="I220"/>
  <c r="I253"/>
  <c r="I198"/>
  <c r="E158" i="10"/>
  <c r="E143"/>
  <c r="E173"/>
  <c r="E128"/>
  <c r="E35"/>
  <c r="E155" i="17"/>
  <c r="E222"/>
  <c r="G110" i="10"/>
  <c r="H96"/>
  <c r="G60"/>
  <c r="H11"/>
  <c r="F96" i="4"/>
  <c r="B167" i="13"/>
  <c r="D226" s="1"/>
  <c r="D277"/>
  <c r="B24" i="14"/>
  <c r="B48" s="1"/>
  <c r="C78" i="11"/>
  <c r="E200" i="17"/>
  <c r="E133"/>
  <c r="D234"/>
  <c r="D167"/>
  <c r="B22" i="14"/>
  <c r="B46" s="1"/>
  <c r="C76" i="11"/>
  <c r="F173" i="10"/>
  <c r="F158"/>
  <c r="F35"/>
  <c r="F128"/>
  <c r="F143"/>
  <c r="D235" i="17"/>
  <c r="D168"/>
  <c r="H218"/>
  <c r="H151"/>
  <c r="D237" i="13"/>
  <c r="B124"/>
  <c r="D182" s="1"/>
  <c r="C55"/>
  <c r="C112" s="1"/>
  <c r="D67" i="12"/>
  <c r="D42" i="17"/>
  <c r="D95" s="1"/>
  <c r="D111" i="12"/>
  <c r="C56" i="13"/>
  <c r="C113" s="1"/>
  <c r="D68" i="12"/>
  <c r="C39" i="13"/>
  <c r="C96" s="1"/>
  <c r="D51" i="12"/>
  <c r="D25" i="17"/>
  <c r="D78" s="1"/>
  <c r="E56"/>
  <c r="E109" s="1"/>
  <c r="E125" i="12"/>
  <c r="B18" i="18"/>
  <c r="B49" s="1"/>
  <c r="C85" i="12"/>
  <c r="E37" i="17"/>
  <c r="E90" s="1"/>
  <c r="E106" i="12"/>
  <c r="B147" i="13"/>
  <c r="D206" s="1"/>
  <c r="D260"/>
  <c r="D48" i="17"/>
  <c r="D101" s="1"/>
  <c r="D117" i="12"/>
  <c r="J39" i="16"/>
  <c r="I16" i="15"/>
  <c r="I18" s="1"/>
  <c r="H179" i="18"/>
  <c r="F33" i="7" s="1"/>
  <c r="D212" i="17"/>
  <c r="D145"/>
  <c r="B51" i="13"/>
  <c r="B108" s="1"/>
  <c r="C63" i="12"/>
  <c r="C77" i="11"/>
  <c r="B23" i="14"/>
  <c r="B47" s="1"/>
  <c r="D162" s="1"/>
  <c r="E199" i="17"/>
  <c r="E132"/>
  <c r="B145" i="13"/>
  <c r="D204" s="1"/>
  <c r="D258"/>
  <c r="K66" i="4"/>
  <c r="B97" s="1"/>
  <c r="K51"/>
  <c r="B26" i="13"/>
  <c r="B83" s="1"/>
  <c r="C58" i="11"/>
  <c r="B23" i="13"/>
  <c r="B80" s="1"/>
  <c r="C55" i="11"/>
  <c r="C30" i="18"/>
  <c r="C58" s="1"/>
  <c r="D97" i="12"/>
  <c r="D237" i="17"/>
  <c r="D170"/>
  <c r="D207"/>
  <c r="D140"/>
  <c r="B151" i="13"/>
  <c r="D210" s="1"/>
  <c r="D264"/>
  <c r="I175" i="18"/>
  <c r="I174"/>
  <c r="J143"/>
  <c r="E9" i="17"/>
  <c r="E62" s="1"/>
  <c r="D139"/>
  <c r="D206"/>
  <c r="C81" i="11"/>
  <c r="B27" i="14"/>
  <c r="B51" s="1"/>
  <c r="E57" i="17"/>
  <c r="E110" s="1"/>
  <c r="E126" i="12"/>
  <c r="B21" i="18"/>
  <c r="B52" s="1"/>
  <c r="C88" i="12"/>
  <c r="E33" i="17"/>
  <c r="E86" s="1"/>
  <c r="E102" i="12"/>
  <c r="C11" i="18"/>
  <c r="C42" s="1"/>
  <c r="D78" i="12"/>
  <c r="C128" i="10"/>
  <c r="C35"/>
  <c r="C173"/>
  <c r="C143"/>
  <c r="C158"/>
  <c r="I57" i="16"/>
  <c r="I59" s="1"/>
  <c r="F21" i="7"/>
  <c r="I48" i="6"/>
  <c r="D24" i="17"/>
  <c r="D77" s="1"/>
  <c r="E15"/>
  <c r="E68" s="1"/>
  <c r="E54"/>
  <c r="E107" s="1"/>
  <c r="E123" i="12"/>
  <c r="I60" i="10"/>
  <c r="I110"/>
  <c r="J11"/>
  <c r="H96" i="4"/>
  <c r="J96" i="10"/>
  <c r="B19" i="18"/>
  <c r="B50" s="1"/>
  <c r="C86" i="12"/>
  <c r="C15" i="18"/>
  <c r="C46" s="1"/>
  <c r="D82" i="12"/>
  <c r="D21" i="17"/>
  <c r="D74" s="1"/>
  <c r="C41" i="13"/>
  <c r="C98" s="1"/>
  <c r="D53" i="12"/>
  <c r="B67" i="13"/>
  <c r="B91"/>
  <c r="L56" i="4"/>
  <c r="L57" s="1"/>
  <c r="E159" i="17"/>
  <c r="E226"/>
  <c r="B43" i="13"/>
  <c r="B100" s="1"/>
  <c r="C55" i="12"/>
  <c r="D49" i="17"/>
  <c r="D102" s="1"/>
  <c r="D118" i="12"/>
  <c r="B146" i="13"/>
  <c r="D205" s="1"/>
  <c r="D259"/>
  <c r="I32" i="15"/>
  <c r="I38" s="1"/>
  <c r="G30" i="7" s="1"/>
  <c r="I23" i="15"/>
  <c r="I22"/>
  <c r="I24"/>
  <c r="J16"/>
  <c r="J18" s="1"/>
  <c r="C40" i="13"/>
  <c r="C97" s="1"/>
  <c r="D52" i="12"/>
  <c r="B23" i="18"/>
  <c r="B54" s="1"/>
  <c r="C90" i="12"/>
  <c r="C8" i="18"/>
  <c r="D75" i="12"/>
  <c r="C12" i="13"/>
  <c r="C69" s="1"/>
  <c r="E39" i="17"/>
  <c r="E92" s="1"/>
  <c r="E108" i="12"/>
  <c r="D51" i="17"/>
  <c r="D104" s="1"/>
  <c r="E172" s="1"/>
  <c r="D120" i="12"/>
  <c r="C13" i="13"/>
  <c r="C70" s="1"/>
  <c r="D45" i="11"/>
  <c r="D51" i="4"/>
  <c r="C31" i="18"/>
  <c r="C59" s="1"/>
  <c r="D98" i="12"/>
  <c r="D20" i="17"/>
  <c r="D73" s="1"/>
  <c r="E35"/>
  <c r="E88" s="1"/>
  <c r="E104" i="12"/>
  <c r="E40" i="17"/>
  <c r="E93" s="1"/>
  <c r="E109" i="12"/>
  <c r="C18" i="14"/>
  <c r="C42" s="1"/>
  <c r="D72" i="11"/>
  <c r="B20" i="18"/>
  <c r="B51" s="1"/>
  <c r="C87" i="12"/>
  <c r="C14" i="14"/>
  <c r="C38" s="1"/>
  <c r="D68" i="11"/>
  <c r="E198" i="17"/>
  <c r="E131"/>
  <c r="D211"/>
  <c r="D144"/>
  <c r="B29" i="14"/>
  <c r="B53" s="1"/>
  <c r="C83" i="11"/>
  <c r="D231" i="17"/>
  <c r="D164"/>
  <c r="B37" i="14"/>
  <c r="E224" i="17"/>
  <c r="E157"/>
  <c r="F11" i="7"/>
  <c r="I35" i="6"/>
  <c r="E240" i="17"/>
  <c r="E176"/>
  <c r="B26" i="14"/>
  <c r="B50" s="1"/>
  <c r="C80" i="11"/>
  <c r="B25" i="13"/>
  <c r="B82" s="1"/>
  <c r="C57" i="11"/>
  <c r="D50" i="17"/>
  <c r="D103" s="1"/>
  <c r="D119" i="12"/>
  <c r="C15" i="14"/>
  <c r="C39" s="1"/>
  <c r="D69" i="11"/>
  <c r="E34" i="17"/>
  <c r="E87" s="1"/>
  <c r="E103" i="12"/>
  <c r="C58" i="13"/>
  <c r="C115" s="1"/>
  <c r="D70" i="12"/>
  <c r="B21" i="13"/>
  <c r="B78" s="1"/>
  <c r="C53" i="11"/>
  <c r="E12" i="17"/>
  <c r="E65" s="1"/>
  <c r="D46"/>
  <c r="D99" s="1"/>
  <c r="D115" i="12"/>
  <c r="B26" i="18"/>
  <c r="C93" i="12"/>
  <c r="E197" i="17"/>
  <c r="E130"/>
  <c r="D143" i="10"/>
  <c r="D128"/>
  <c r="D173"/>
  <c r="D158"/>
  <c r="D35"/>
  <c r="B19" i="13"/>
  <c r="B76" s="1"/>
  <c r="C51" i="11"/>
  <c r="D47" i="17"/>
  <c r="D100" s="1"/>
  <c r="D116" i="12"/>
  <c r="H30" i="17"/>
  <c r="H83" s="1"/>
  <c r="I30"/>
  <c r="I83" s="1"/>
  <c r="D53"/>
  <c r="D106" s="1"/>
  <c r="E174" s="1"/>
  <c r="D122" i="12"/>
  <c r="C15" i="13"/>
  <c r="C72" s="1"/>
  <c r="D47" i="11"/>
  <c r="C9" i="18"/>
  <c r="C40" s="1"/>
  <c r="D76" i="12"/>
  <c r="G40" i="15"/>
  <c r="G42" s="1"/>
  <c r="E20" i="7"/>
  <c r="H51" i="6"/>
  <c r="D210" i="17"/>
  <c r="D143"/>
  <c r="B166" i="13"/>
  <c r="D225" s="1"/>
  <c r="D276"/>
  <c r="E242" i="17"/>
  <c r="E178"/>
  <c r="B48" i="13"/>
  <c r="B105" s="1"/>
  <c r="C60" i="12"/>
  <c r="E229" i="17"/>
  <c r="E162"/>
  <c r="E221"/>
  <c r="E154"/>
  <c r="C38" i="13"/>
  <c r="C95" s="1"/>
  <c r="D50" i="12"/>
  <c r="F96" i="10"/>
  <c r="F11"/>
  <c r="H29" i="15"/>
  <c r="K52" i="4"/>
  <c r="C67" i="14" l="1"/>
  <c r="E145" s="1"/>
  <c r="C68"/>
  <c r="E146" s="1"/>
  <c r="C116" i="17"/>
  <c r="C118"/>
  <c r="E160" i="14"/>
  <c r="C69"/>
  <c r="B94"/>
  <c r="D161"/>
  <c r="E60" i="10"/>
  <c r="E110"/>
  <c r="G11"/>
  <c r="C15" i="8"/>
  <c r="F110" i="10"/>
  <c r="D143" i="14"/>
  <c r="E96" i="4"/>
  <c r="F60" i="10"/>
  <c r="L64" i="4"/>
  <c r="M61" s="1"/>
  <c r="B27" i="13"/>
  <c r="B84" s="1"/>
  <c r="C59" i="11"/>
  <c r="C29" i="13"/>
  <c r="C86" s="1"/>
  <c r="D61" i="11"/>
  <c r="E204" i="17"/>
  <c r="E137"/>
  <c r="C114"/>
  <c r="D182" s="1"/>
  <c r="B30" i="14"/>
  <c r="B54" s="1"/>
  <c r="C84" i="11"/>
  <c r="B138" i="13"/>
  <c r="D196" s="1"/>
  <c r="D251"/>
  <c r="D27" i="17"/>
  <c r="D80" s="1"/>
  <c r="B28" i="13"/>
  <c r="B85" s="1"/>
  <c r="C60" i="11"/>
  <c r="E16" i="17"/>
  <c r="E69" s="1"/>
  <c r="D215"/>
  <c r="D148"/>
  <c r="C85" i="11"/>
  <c r="B31" i="14"/>
  <c r="B55" s="1"/>
  <c r="C115" i="17"/>
  <c r="D246" s="1"/>
  <c r="B30" i="13"/>
  <c r="B87" s="1"/>
  <c r="C62" i="11"/>
  <c r="D216" i="17"/>
  <c r="D149"/>
  <c r="D217"/>
  <c r="D150"/>
  <c r="D50" i="11"/>
  <c r="C18" i="13"/>
  <c r="C75" s="1"/>
  <c r="C17"/>
  <c r="C74" s="1"/>
  <c r="D49" i="11"/>
  <c r="D75"/>
  <c r="C21" i="14"/>
  <c r="C45" s="1"/>
  <c r="C119" i="17"/>
  <c r="D28"/>
  <c r="D81" s="1"/>
  <c r="D29"/>
  <c r="D82" s="1"/>
  <c r="C20" i="14"/>
  <c r="C44" s="1"/>
  <c r="D74" i="11"/>
  <c r="D240" i="13"/>
  <c r="B127"/>
  <c r="D185" s="1"/>
  <c r="D239"/>
  <c r="B126"/>
  <c r="D184" s="1"/>
  <c r="K13" i="4"/>
  <c r="K12"/>
  <c r="K18"/>
  <c r="K10"/>
  <c r="K21"/>
  <c r="K22"/>
  <c r="K16"/>
  <c r="K11"/>
  <c r="K9"/>
  <c r="K8"/>
  <c r="K15"/>
  <c r="K20"/>
  <c r="K14"/>
  <c r="K17"/>
  <c r="K19"/>
  <c r="J23"/>
  <c r="G35" i="7" s="1"/>
  <c r="K49" i="16"/>
  <c r="K48" i="6" s="1"/>
  <c r="F13" i="17"/>
  <c r="F66" s="1"/>
  <c r="D14" i="13"/>
  <c r="D71" s="1"/>
  <c r="E46" i="11"/>
  <c r="I273" i="17"/>
  <c r="G32" i="7" s="1"/>
  <c r="F134" i="17"/>
  <c r="F201"/>
  <c r="C123" i="13"/>
  <c r="E181" s="1"/>
  <c r="E236"/>
  <c r="E71" i="11"/>
  <c r="D17" i="14"/>
  <c r="D41" s="1"/>
  <c r="M40" i="4"/>
  <c r="N37" s="1"/>
  <c r="N38" s="1"/>
  <c r="N39" s="1"/>
  <c r="H10" i="7"/>
  <c r="K38" i="6"/>
  <c r="M44" i="4"/>
  <c r="M46" s="1"/>
  <c r="N43" s="1"/>
  <c r="D38" i="13"/>
  <c r="D95" s="1"/>
  <c r="E50" i="12"/>
  <c r="J218" i="17"/>
  <c r="J151"/>
  <c r="C21" i="13"/>
  <c r="C78" s="1"/>
  <c r="D53" i="11"/>
  <c r="E158" i="14"/>
  <c r="C80"/>
  <c r="C81"/>
  <c r="E234" i="13"/>
  <c r="C121"/>
  <c r="E179" s="1"/>
  <c r="C43"/>
  <c r="C100" s="1"/>
  <c r="D55" i="12"/>
  <c r="F221" i="17"/>
  <c r="F154"/>
  <c r="C26" i="13"/>
  <c r="C83" s="1"/>
  <c r="D58" i="11"/>
  <c r="C164" i="13"/>
  <c r="E223" s="1"/>
  <c r="E274"/>
  <c r="C24" i="14"/>
  <c r="C48" s="1"/>
  <c r="D78" i="11"/>
  <c r="E233" i="13"/>
  <c r="C120"/>
  <c r="E178" s="1"/>
  <c r="D148" i="18"/>
  <c r="D153" s="1"/>
  <c r="D163"/>
  <c r="D162"/>
  <c r="C49" i="13"/>
  <c r="C106" s="1"/>
  <c r="D61" i="12"/>
  <c r="F240" i="17"/>
  <c r="F176"/>
  <c r="C146" i="13"/>
  <c r="E205" s="1"/>
  <c r="E259"/>
  <c r="D16"/>
  <c r="D73" s="1"/>
  <c r="E48" i="11"/>
  <c r="D16" i="14"/>
  <c r="D40" s="1"/>
  <c r="E70" i="11"/>
  <c r="J175" i="18"/>
  <c r="J174"/>
  <c r="B160" i="13"/>
  <c r="D219" s="1"/>
  <c r="D273"/>
  <c r="G10" i="7"/>
  <c r="J38" i="6"/>
  <c r="C18" i="18"/>
  <c r="C49" s="1"/>
  <c r="D85" i="12"/>
  <c r="E25" i="17"/>
  <c r="E78" s="1"/>
  <c r="E68" i="12"/>
  <c r="D56" i="13"/>
  <c r="D113" s="1"/>
  <c r="D55"/>
  <c r="D112" s="1"/>
  <c r="E67" i="12"/>
  <c r="C28" i="14"/>
  <c r="C52" s="1"/>
  <c r="D82" i="11"/>
  <c r="D29" i="18"/>
  <c r="D57" s="1"/>
  <c r="E96" i="12"/>
  <c r="F38" i="17"/>
  <c r="F91" s="1"/>
  <c r="F107" i="12"/>
  <c r="D11" i="13"/>
  <c r="D68" s="1"/>
  <c r="E43" i="11"/>
  <c r="C25" i="18"/>
  <c r="D92" i="12"/>
  <c r="D34" i="13"/>
  <c r="E46" i="12"/>
  <c r="D10" i="13"/>
  <c r="E42" i="11"/>
  <c r="C50" i="13"/>
  <c r="C107" s="1"/>
  <c r="D62" i="12"/>
  <c r="C145" i="13"/>
  <c r="E204" s="1"/>
  <c r="E258"/>
  <c r="F55" i="17"/>
  <c r="F108" s="1"/>
  <c r="F124" i="12"/>
  <c r="D13" i="14"/>
  <c r="E67" i="11"/>
  <c r="E23" i="17"/>
  <c r="E76" s="1"/>
  <c r="D37" i="13"/>
  <c r="D94" s="1"/>
  <c r="E49" i="12"/>
  <c r="B154" i="13"/>
  <c r="D213" s="1"/>
  <c r="D267"/>
  <c r="E206" i="17"/>
  <c r="E139"/>
  <c r="D244" i="13"/>
  <c r="B131"/>
  <c r="D189" s="1"/>
  <c r="E233" i="17"/>
  <c r="E166"/>
  <c r="E257" i="13"/>
  <c r="C144"/>
  <c r="E203" s="1"/>
  <c r="F199" i="17"/>
  <c r="F132"/>
  <c r="D242" i="13"/>
  <c r="B129"/>
  <c r="D187" s="1"/>
  <c r="E69" i="12"/>
  <c r="D57" i="13"/>
  <c r="D114" s="1"/>
  <c r="E49" i="4"/>
  <c r="D68"/>
  <c r="D19" i="14"/>
  <c r="D43" s="1"/>
  <c r="E73" i="11"/>
  <c r="E46" i="17"/>
  <c r="E99" s="1"/>
  <c r="E115" i="12"/>
  <c r="D15" i="14"/>
  <c r="D39" s="1"/>
  <c r="E69" i="11"/>
  <c r="C26" i="14"/>
  <c r="C50" s="1"/>
  <c r="D80" i="11"/>
  <c r="C63" i="14"/>
  <c r="E142" s="1"/>
  <c r="E157"/>
  <c r="C64"/>
  <c r="E208" i="17"/>
  <c r="E141"/>
  <c r="D67" i="4"/>
  <c r="E51"/>
  <c r="E21" i="17"/>
  <c r="E74" s="1"/>
  <c r="F203"/>
  <c r="F136"/>
  <c r="F242"/>
  <c r="F178"/>
  <c r="D30" i="18"/>
  <c r="D58" s="1"/>
  <c r="E97" i="12"/>
  <c r="D156" i="14"/>
  <c r="B98"/>
  <c r="D148" s="1"/>
  <c r="B97"/>
  <c r="D147" s="1"/>
  <c r="J59" i="16"/>
  <c r="G11" i="7"/>
  <c r="J35" i="6"/>
  <c r="E213" i="17"/>
  <c r="E146"/>
  <c r="F226"/>
  <c r="F159"/>
  <c r="C91" i="13"/>
  <c r="C47"/>
  <c r="C104" s="1"/>
  <c r="D59" i="12"/>
  <c r="D96" i="10"/>
  <c r="B96" i="4"/>
  <c r="C60" i="10"/>
  <c r="D11"/>
  <c r="F14" i="17"/>
  <c r="F67" s="1"/>
  <c r="C37" i="14"/>
  <c r="C24" i="13"/>
  <c r="C81" s="1"/>
  <c r="D56" i="11"/>
  <c r="D250" i="17"/>
  <c r="D187"/>
  <c r="D15" i="13"/>
  <c r="D72" s="1"/>
  <c r="E47" i="11"/>
  <c r="C167" i="13"/>
  <c r="E226" s="1"/>
  <c r="E277"/>
  <c r="D14" i="14"/>
  <c r="D38" s="1"/>
  <c r="E68" i="11"/>
  <c r="D18" i="14"/>
  <c r="D42" s="1"/>
  <c r="E72" i="11"/>
  <c r="E20" i="17"/>
  <c r="E73" s="1"/>
  <c r="E51"/>
  <c r="E104" s="1"/>
  <c r="F172" s="1"/>
  <c r="E120" i="12"/>
  <c r="C23" i="18"/>
  <c r="C54" s="1"/>
  <c r="D90" i="12"/>
  <c r="E237" i="17"/>
  <c r="E170"/>
  <c r="B143" i="13"/>
  <c r="D202" s="1"/>
  <c r="D256"/>
  <c r="C150"/>
  <c r="E209" s="1"/>
  <c r="E263"/>
  <c r="F15" i="17"/>
  <c r="F68" s="1"/>
  <c r="F57"/>
  <c r="F110" s="1"/>
  <c r="F126" i="12"/>
  <c r="D245" i="13"/>
  <c r="B132"/>
  <c r="D190" s="1"/>
  <c r="H40" i="15"/>
  <c r="H42" s="1"/>
  <c r="F20" i="7"/>
  <c r="I51" i="6"/>
  <c r="C48" i="13"/>
  <c r="C105" s="1"/>
  <c r="D60" i="12"/>
  <c r="E47" i="17"/>
  <c r="E100" s="1"/>
  <c r="E116" i="12"/>
  <c r="C26" i="18"/>
  <c r="D93" i="12"/>
  <c r="F12" i="17"/>
  <c r="F65" s="1"/>
  <c r="D58" i="13"/>
  <c r="D115" s="1"/>
  <c r="E70" i="12"/>
  <c r="E50" i="17"/>
  <c r="E103" s="1"/>
  <c r="E119" i="12"/>
  <c r="F228" i="17"/>
  <c r="F161"/>
  <c r="F223"/>
  <c r="F156"/>
  <c r="C122" i="13"/>
  <c r="E180" s="1"/>
  <c r="E235"/>
  <c r="F227" i="17"/>
  <c r="F160"/>
  <c r="C39" i="18"/>
  <c r="C149" i="13"/>
  <c r="E208" s="1"/>
  <c r="E262"/>
  <c r="E49" i="17"/>
  <c r="E102" s="1"/>
  <c r="E118" i="12"/>
  <c r="D41" i="13"/>
  <c r="D98" s="1"/>
  <c r="E53" i="12"/>
  <c r="D15" i="18"/>
  <c r="D46" s="1"/>
  <c r="E82" i="12"/>
  <c r="F239" i="17"/>
  <c r="F175"/>
  <c r="E212"/>
  <c r="E145"/>
  <c r="C27" i="14"/>
  <c r="C51" s="1"/>
  <c r="D81" i="11"/>
  <c r="F197" i="17"/>
  <c r="F130"/>
  <c r="C23" i="13"/>
  <c r="C80" s="1"/>
  <c r="D55" i="11"/>
  <c r="K67" i="4"/>
  <c r="C51" i="13"/>
  <c r="C108" s="1"/>
  <c r="D63" i="12"/>
  <c r="E236" i="17"/>
  <c r="E169"/>
  <c r="F225"/>
  <c r="F158"/>
  <c r="F241"/>
  <c r="F177"/>
  <c r="E261" i="13"/>
  <c r="C148"/>
  <c r="E207" s="1"/>
  <c r="E163" i="17"/>
  <c r="E230"/>
  <c r="J293" i="13"/>
  <c r="J300" s="1"/>
  <c r="J279"/>
  <c r="J278"/>
  <c r="J254"/>
  <c r="J221"/>
  <c r="J253"/>
  <c r="J222"/>
  <c r="J220"/>
  <c r="J198"/>
  <c r="E157" i="18"/>
  <c r="C120"/>
  <c r="C137" s="1"/>
  <c r="E150" s="1"/>
  <c r="E161"/>
  <c r="C119"/>
  <c r="C136" s="1"/>
  <c r="E149" s="1"/>
  <c r="C118"/>
  <c r="C135" s="1"/>
  <c r="E158"/>
  <c r="E232" i="17"/>
  <c r="E165"/>
  <c r="D36" i="13"/>
  <c r="D93" s="1"/>
  <c r="E48" i="12"/>
  <c r="C27" i="18"/>
  <c r="D94" i="12"/>
  <c r="F224" i="17"/>
  <c r="F157"/>
  <c r="E164"/>
  <c r="E231"/>
  <c r="D13" i="18"/>
  <c r="D44" s="1"/>
  <c r="E80" i="12"/>
  <c r="C45" i="13"/>
  <c r="C102" s="1"/>
  <c r="D57" i="12"/>
  <c r="D14" i="18"/>
  <c r="D45" s="1"/>
  <c r="E81" i="12"/>
  <c r="E18" i="17"/>
  <c r="E71" s="1"/>
  <c r="C22" i="18"/>
  <c r="C53" s="1"/>
  <c r="D89" i="12"/>
  <c r="C22" i="13"/>
  <c r="C79" s="1"/>
  <c r="D54" i="11"/>
  <c r="E45" i="17"/>
  <c r="E98" s="1"/>
  <c r="E114" i="12"/>
  <c r="D35" i="13"/>
  <c r="D92" s="1"/>
  <c r="E47" i="12"/>
  <c r="F11" i="17"/>
  <c r="F64" s="1"/>
  <c r="C20" i="13"/>
  <c r="C77" s="1"/>
  <c r="D52" i="11"/>
  <c r="F229" i="17"/>
  <c r="F162"/>
  <c r="E210"/>
  <c r="E143"/>
  <c r="M62" i="4"/>
  <c r="M63" s="1"/>
  <c r="F198" i="17"/>
  <c r="F131"/>
  <c r="B155" i="13"/>
  <c r="D214" s="1"/>
  <c r="D268"/>
  <c r="B60"/>
  <c r="K39" i="16"/>
  <c r="E237" i="13"/>
  <c r="C124"/>
  <c r="E182" s="1"/>
  <c r="C19"/>
  <c r="C76" s="1"/>
  <c r="D51" i="11"/>
  <c r="F34" i="17"/>
  <c r="F87" s="1"/>
  <c r="F103" i="12"/>
  <c r="C25" i="13"/>
  <c r="C82" s="1"/>
  <c r="D57" i="11"/>
  <c r="D232" i="13"/>
  <c r="B119"/>
  <c r="C19" i="18"/>
  <c r="C50" s="1"/>
  <c r="D86" i="12"/>
  <c r="C165" i="13"/>
  <c r="E224" s="1"/>
  <c r="E275"/>
  <c r="C22" i="14"/>
  <c r="C46" s="1"/>
  <c r="D76" i="11"/>
  <c r="C67" i="13"/>
  <c r="B159"/>
  <c r="D218" s="1"/>
  <c r="D272"/>
  <c r="E211" i="17"/>
  <c r="E144"/>
  <c r="D42" i="13"/>
  <c r="D99" s="1"/>
  <c r="E54" i="12"/>
  <c r="E19" i="17"/>
  <c r="E72" s="1"/>
  <c r="C44" i="13"/>
  <c r="C101" s="1"/>
  <c r="D56" i="12"/>
  <c r="C24" i="18"/>
  <c r="C55" s="1"/>
  <c r="D91" i="12"/>
  <c r="C166" i="13"/>
  <c r="E225" s="1"/>
  <c r="E276"/>
  <c r="B157"/>
  <c r="D216" s="1"/>
  <c r="D270"/>
  <c r="E168" i="17"/>
  <c r="E235"/>
  <c r="F200"/>
  <c r="F133"/>
  <c r="E171"/>
  <c r="E238"/>
  <c r="D12" i="13"/>
  <c r="D69" s="1"/>
  <c r="J22" i="15"/>
  <c r="J32"/>
  <c r="J38" s="1"/>
  <c r="H30" i="7" s="1"/>
  <c r="J23" i="15"/>
  <c r="J24"/>
  <c r="F33" i="17"/>
  <c r="F86" s="1"/>
  <c r="F102" i="12"/>
  <c r="K68" i="4"/>
  <c r="L49"/>
  <c r="C147" i="13"/>
  <c r="E206" s="1"/>
  <c r="E260"/>
  <c r="D9" i="18"/>
  <c r="D40" s="1"/>
  <c r="E76" i="12"/>
  <c r="E53" i="17"/>
  <c r="E106" s="1"/>
  <c r="F174" s="1"/>
  <c r="E122" i="12"/>
  <c r="I218" i="17"/>
  <c r="I151"/>
  <c r="D241" i="13"/>
  <c r="B128"/>
  <c r="D186" s="1"/>
  <c r="E167" i="17"/>
  <c r="E234"/>
  <c r="D243" i="13"/>
  <c r="B130"/>
  <c r="D188" s="1"/>
  <c r="F222" i="17"/>
  <c r="F155"/>
  <c r="D247" i="13"/>
  <c r="B134"/>
  <c r="D192" s="1"/>
  <c r="G128" i="10"/>
  <c r="G35"/>
  <c r="G173"/>
  <c r="G143"/>
  <c r="G158"/>
  <c r="C29" i="14"/>
  <c r="C53" s="1"/>
  <c r="D83" i="11"/>
  <c r="C20" i="18"/>
  <c r="C51" s="1"/>
  <c r="D87" i="12"/>
  <c r="F40" i="17"/>
  <c r="F93" s="1"/>
  <c r="F109" i="12"/>
  <c r="F35" i="17"/>
  <c r="F88" s="1"/>
  <c r="F104" i="12"/>
  <c r="D31" i="18"/>
  <c r="D59" s="1"/>
  <c r="E98" i="12"/>
  <c r="D13" i="13"/>
  <c r="D70" s="1"/>
  <c r="E45" i="11"/>
  <c r="F39" i="17"/>
  <c r="F92" s="1"/>
  <c r="F108" i="12"/>
  <c r="D8" i="18"/>
  <c r="E75" i="12"/>
  <c r="D40" i="13"/>
  <c r="D97" s="1"/>
  <c r="E52" i="12"/>
  <c r="B152" i="13"/>
  <c r="D211" s="1"/>
  <c r="D265"/>
  <c r="E209" i="17"/>
  <c r="E142"/>
  <c r="F54"/>
  <c r="F107" s="1"/>
  <c r="F123" i="12"/>
  <c r="E24" i="17"/>
  <c r="E77" s="1"/>
  <c r="D11" i="18"/>
  <c r="D42" s="1"/>
  <c r="E78" i="12"/>
  <c r="C21" i="18"/>
  <c r="C52" s="1"/>
  <c r="D88" i="12"/>
  <c r="F9" i="17"/>
  <c r="F62" s="1"/>
  <c r="D248" i="13"/>
  <c r="B135"/>
  <c r="D193" s="1"/>
  <c r="C23" i="14"/>
  <c r="C47" s="1"/>
  <c r="E162" s="1"/>
  <c r="D77" i="11"/>
  <c r="E48" i="17"/>
  <c r="E101" s="1"/>
  <c r="E117" i="12"/>
  <c r="F37" i="17"/>
  <c r="F90" s="1"/>
  <c r="F106" i="12"/>
  <c r="F56" i="17"/>
  <c r="F109" s="1"/>
  <c r="F125" i="12"/>
  <c r="D39" i="13"/>
  <c r="D96" s="1"/>
  <c r="E51" i="12"/>
  <c r="E42" i="17"/>
  <c r="E95" s="1"/>
  <c r="E111" i="12"/>
  <c r="D12" i="18"/>
  <c r="D43" s="1"/>
  <c r="E79" i="12"/>
  <c r="C16" i="18"/>
  <c r="C47" s="1"/>
  <c r="D83" i="12"/>
  <c r="D28" i="18"/>
  <c r="D56" s="1"/>
  <c r="E95" i="12"/>
  <c r="E44" i="17"/>
  <c r="E97" s="1"/>
  <c r="E113" i="12"/>
  <c r="E52" i="17"/>
  <c r="E105" s="1"/>
  <c r="F173" s="1"/>
  <c r="E121" i="12"/>
  <c r="C17" i="18"/>
  <c r="C48" s="1"/>
  <c r="D84" i="12"/>
  <c r="B156" i="13"/>
  <c r="D215" s="1"/>
  <c r="D269"/>
  <c r="F202" i="17"/>
  <c r="F135"/>
  <c r="B158" i="13"/>
  <c r="D217" s="1"/>
  <c r="D271"/>
  <c r="F36" i="17"/>
  <c r="F89" s="1"/>
  <c r="F105" i="12"/>
  <c r="E43" i="17"/>
  <c r="E96" s="1"/>
  <c r="E112" i="12"/>
  <c r="D247" i="17"/>
  <c r="D184"/>
  <c r="D246" i="13"/>
  <c r="B133"/>
  <c r="D191" s="1"/>
  <c r="E238"/>
  <c r="C125"/>
  <c r="E183" s="1"/>
  <c r="C151"/>
  <c r="E210" s="1"/>
  <c r="E264"/>
  <c r="C72" i="14"/>
  <c r="E144" s="1"/>
  <c r="C73"/>
  <c r="E207" i="17"/>
  <c r="E140"/>
  <c r="B153" i="13"/>
  <c r="D212" s="1"/>
  <c r="D266"/>
  <c r="J268" i="17"/>
  <c r="J243"/>
  <c r="J267"/>
  <c r="J266"/>
  <c r="J265"/>
  <c r="J214"/>
  <c r="J205"/>
  <c r="J219"/>
  <c r="J152"/>
  <c r="F41"/>
  <c r="F94" s="1"/>
  <c r="F110" i="12"/>
  <c r="E22" i="17"/>
  <c r="E75" s="1"/>
  <c r="D10" i="18"/>
  <c r="D41" s="1"/>
  <c r="E77" i="12"/>
  <c r="C25" i="14"/>
  <c r="C49" s="1"/>
  <c r="D79" i="11"/>
  <c r="F10" i="17"/>
  <c r="F63" s="1"/>
  <c r="C46" i="13"/>
  <c r="C103" s="1"/>
  <c r="D58" i="12"/>
  <c r="L45" i="4"/>
  <c r="I29" i="15"/>
  <c r="L58" i="4"/>
  <c r="M55" s="1"/>
  <c r="I179" i="18"/>
  <c r="G33" i="7" s="1"/>
  <c r="B33" i="18"/>
  <c r="B32" i="14" l="1"/>
  <c r="B12" s="1"/>
  <c r="H21" i="7"/>
  <c r="K57" i="16"/>
  <c r="K59" s="1"/>
  <c r="B32" i="13"/>
  <c r="B9" s="1"/>
  <c r="D281" s="1"/>
  <c r="D68" i="14"/>
  <c r="F146" s="1"/>
  <c r="D69"/>
  <c r="D67"/>
  <c r="F145" s="1"/>
  <c r="F160"/>
  <c r="D253" i="17"/>
  <c r="D245"/>
  <c r="E15" i="6" s="1"/>
  <c r="F6" s="1"/>
  <c r="D183" i="17"/>
  <c r="C94" i="14"/>
  <c r="E161"/>
  <c r="D115" i="17"/>
  <c r="E246" s="1"/>
  <c r="D254"/>
  <c r="D141" i="14"/>
  <c r="J273" i="17"/>
  <c r="H32" i="7" s="1"/>
  <c r="D114" i="17"/>
  <c r="E245" s="1"/>
  <c r="E149"/>
  <c r="E216"/>
  <c r="D17" i="13"/>
  <c r="D74" s="1"/>
  <c r="E49" i="11"/>
  <c r="C31" i="14"/>
  <c r="C55" s="1"/>
  <c r="D85" i="11"/>
  <c r="E215" i="17"/>
  <c r="E148"/>
  <c r="D29" i="13"/>
  <c r="D86" s="1"/>
  <c r="E61" i="11"/>
  <c r="E29" i="17"/>
  <c r="E82" s="1"/>
  <c r="D251"/>
  <c r="D188"/>
  <c r="D191" s="1"/>
  <c r="E34" i="6" s="1"/>
  <c r="C126" i="13"/>
  <c r="E184" s="1"/>
  <c r="E239"/>
  <c r="B139"/>
  <c r="D197" s="1"/>
  <c r="D252"/>
  <c r="C28"/>
  <c r="C85" s="1"/>
  <c r="D60" i="11"/>
  <c r="C138" i="13"/>
  <c r="E196" s="1"/>
  <c r="E251"/>
  <c r="D62" i="11"/>
  <c r="C30" i="13"/>
  <c r="C87" s="1"/>
  <c r="F16" i="17"/>
  <c r="F69" s="1"/>
  <c r="D116"/>
  <c r="E247" s="1"/>
  <c r="D118"/>
  <c r="E217"/>
  <c r="E150"/>
  <c r="C127" i="13"/>
  <c r="E185" s="1"/>
  <c r="E240"/>
  <c r="D250"/>
  <c r="B137"/>
  <c r="D195" s="1"/>
  <c r="D59" i="11"/>
  <c r="C27" i="13"/>
  <c r="C84" s="1"/>
  <c r="D119" i="17"/>
  <c r="E251" s="1"/>
  <c r="D20" i="14"/>
  <c r="D44" s="1"/>
  <c r="E74" i="11"/>
  <c r="E28" i="17"/>
  <c r="E81" s="1"/>
  <c r="D21" i="14"/>
  <c r="D45" s="1"/>
  <c r="E75" i="11"/>
  <c r="E50"/>
  <c r="D18" i="13"/>
  <c r="D75" s="1"/>
  <c r="F137" i="17"/>
  <c r="F204"/>
  <c r="E27"/>
  <c r="E80" s="1"/>
  <c r="D84" i="11"/>
  <c r="C30" i="14"/>
  <c r="C54" s="1"/>
  <c r="B136" i="13"/>
  <c r="D194" s="1"/>
  <c r="D249"/>
  <c r="G134" i="17"/>
  <c r="G201"/>
  <c r="F46" i="11"/>
  <c r="E14" i="13"/>
  <c r="E71" s="1"/>
  <c r="K23" i="4"/>
  <c r="H35" i="7" s="1"/>
  <c r="E17" i="14"/>
  <c r="E41" s="1"/>
  <c r="F71" i="11"/>
  <c r="G13" i="17"/>
  <c r="G66" s="1"/>
  <c r="M45" i="4"/>
  <c r="F236" i="13"/>
  <c r="D123"/>
  <c r="F181" s="1"/>
  <c r="J179" i="18"/>
  <c r="H33" i="7" s="1"/>
  <c r="N40" i="4"/>
  <c r="O37" s="1"/>
  <c r="O38" s="1"/>
  <c r="N44"/>
  <c r="N46" s="1"/>
  <c r="O43" s="1"/>
  <c r="F44" i="17"/>
  <c r="F97" s="1"/>
  <c r="F113" i="12"/>
  <c r="F48" i="17"/>
  <c r="F101" s="1"/>
  <c r="F117" i="12"/>
  <c r="F233" i="17"/>
  <c r="F166"/>
  <c r="F258" i="13"/>
  <c r="D145"/>
  <c r="F204" s="1"/>
  <c r="E58"/>
  <c r="E115" s="1"/>
  <c r="F70" i="12"/>
  <c r="G242" i="17"/>
  <c r="G178"/>
  <c r="H143" i="10"/>
  <c r="H128"/>
  <c r="H35"/>
  <c r="H173"/>
  <c r="H158"/>
  <c r="D37" i="14"/>
  <c r="D49" i="13"/>
  <c r="D106" s="1"/>
  <c r="E61" i="12"/>
  <c r="I157" i="10"/>
  <c r="I142"/>
  <c r="I34"/>
  <c r="I172"/>
  <c r="I127"/>
  <c r="G198" i="17"/>
  <c r="G131"/>
  <c r="G197"/>
  <c r="G130"/>
  <c r="D39" i="18"/>
  <c r="D44" i="13"/>
  <c r="D101" s="1"/>
  <c r="E56" i="12"/>
  <c r="D19" i="18"/>
  <c r="D50" s="1"/>
  <c r="E86" i="12"/>
  <c r="D25" i="13"/>
  <c r="D82" s="1"/>
  <c r="E57" i="11"/>
  <c r="D19" i="13"/>
  <c r="D76" s="1"/>
  <c r="E51" i="11"/>
  <c r="D20" i="13"/>
  <c r="D77" s="1"/>
  <c r="E52" i="11"/>
  <c r="E35" i="13"/>
  <c r="E92" s="1"/>
  <c r="F47" i="12"/>
  <c r="F45" i="17"/>
  <c r="F98" s="1"/>
  <c r="F114" i="12"/>
  <c r="D22" i="18"/>
  <c r="D53" s="1"/>
  <c r="E89" i="12"/>
  <c r="E14" i="18"/>
  <c r="E45" s="1"/>
  <c r="F81" i="12"/>
  <c r="E13" i="18"/>
  <c r="E44" s="1"/>
  <c r="F80" i="12"/>
  <c r="E36" i="13"/>
  <c r="E93" s="1"/>
  <c r="F48" i="12"/>
  <c r="E273" i="13"/>
  <c r="C160"/>
  <c r="E219" s="1"/>
  <c r="F237" i="17"/>
  <c r="F170"/>
  <c r="F238"/>
  <c r="F171"/>
  <c r="G200"/>
  <c r="G133"/>
  <c r="F235"/>
  <c r="F168"/>
  <c r="G57"/>
  <c r="G110" s="1"/>
  <c r="G126" i="12"/>
  <c r="F51" i="17"/>
  <c r="F104" s="1"/>
  <c r="G172" s="1"/>
  <c r="F120" i="12"/>
  <c r="E18" i="14"/>
  <c r="E42" s="1"/>
  <c r="F72" i="11"/>
  <c r="D47" i="13"/>
  <c r="D104" s="1"/>
  <c r="E59" i="12"/>
  <c r="F21" i="17"/>
  <c r="F74" s="1"/>
  <c r="E65" i="4"/>
  <c r="D13" i="8" s="1"/>
  <c r="D15" s="1"/>
  <c r="E52" i="4"/>
  <c r="F211" i="17"/>
  <c r="F144"/>
  <c r="E13" i="14"/>
  <c r="F67" i="11"/>
  <c r="E10" i="13"/>
  <c r="F42" i="11"/>
  <c r="E11" i="13"/>
  <c r="E68" s="1"/>
  <c r="F43" i="11"/>
  <c r="E29" i="18"/>
  <c r="E57" s="1"/>
  <c r="F96" i="12"/>
  <c r="F275" i="13"/>
  <c r="D165"/>
  <c r="F224" s="1"/>
  <c r="F238"/>
  <c r="D125"/>
  <c r="F183" s="1"/>
  <c r="D24" i="14"/>
  <c r="D48" s="1"/>
  <c r="E78" i="11"/>
  <c r="D26" i="13"/>
  <c r="D83" s="1"/>
  <c r="E58" i="11"/>
  <c r="D43" i="13"/>
  <c r="D100" s="1"/>
  <c r="E55" i="12"/>
  <c r="C130" i="13"/>
  <c r="E188" s="1"/>
  <c r="E243"/>
  <c r="F260"/>
  <c r="D147"/>
  <c r="F206" s="1"/>
  <c r="D25" i="14"/>
  <c r="D49" s="1"/>
  <c r="E79" i="11"/>
  <c r="F52" i="17"/>
  <c r="F105" s="1"/>
  <c r="G173" s="1"/>
  <c r="F121" i="12"/>
  <c r="E12" i="18"/>
  <c r="E43" s="1"/>
  <c r="F79" i="12"/>
  <c r="G39" i="17"/>
  <c r="G92" s="1"/>
  <c r="G108" i="12"/>
  <c r="G40" i="17"/>
  <c r="G93" s="1"/>
  <c r="G109" i="12"/>
  <c r="C153" i="13"/>
  <c r="E212" s="1"/>
  <c r="E266"/>
  <c r="F264"/>
  <c r="D151"/>
  <c r="F210" s="1"/>
  <c r="C134"/>
  <c r="E192" s="1"/>
  <c r="E247"/>
  <c r="F257"/>
  <c r="D144"/>
  <c r="F203" s="1"/>
  <c r="D26" i="18"/>
  <c r="E93" i="12"/>
  <c r="D48" i="13"/>
  <c r="D105" s="1"/>
  <c r="E60" i="12"/>
  <c r="D26" i="14"/>
  <c r="D50" s="1"/>
  <c r="E80" i="11"/>
  <c r="D67" i="13"/>
  <c r="E265"/>
  <c r="C152"/>
  <c r="E211" s="1"/>
  <c r="E143" i="14"/>
  <c r="E156"/>
  <c r="C98"/>
  <c r="E148" s="1"/>
  <c r="C97"/>
  <c r="E147" s="1"/>
  <c r="G223" i="17"/>
  <c r="G156"/>
  <c r="E9" i="18"/>
  <c r="E40" s="1"/>
  <c r="F76" i="12"/>
  <c r="L50" i="4"/>
  <c r="L52" s="1"/>
  <c r="L65"/>
  <c r="E12" i="13"/>
  <c r="E69" s="1"/>
  <c r="E42"/>
  <c r="E99" s="1"/>
  <c r="F54" i="12"/>
  <c r="B36" i="18"/>
  <c r="B6"/>
  <c r="I40" i="15"/>
  <c r="I42" s="1"/>
  <c r="G20" i="7"/>
  <c r="J51" i="6"/>
  <c r="G10" i="17"/>
  <c r="G63" s="1"/>
  <c r="E10" i="18"/>
  <c r="E41" s="1"/>
  <c r="F77" i="12"/>
  <c r="G41" i="17"/>
  <c r="G94" s="1"/>
  <c r="G110" i="12"/>
  <c r="F43" i="17"/>
  <c r="F96" s="1"/>
  <c r="F112" i="12"/>
  <c r="D17" i="18"/>
  <c r="D48" s="1"/>
  <c r="E84" i="12"/>
  <c r="D16" i="18"/>
  <c r="D47" s="1"/>
  <c r="E83" i="12"/>
  <c r="F42" i="17"/>
  <c r="F95" s="1"/>
  <c r="F111" i="12"/>
  <c r="G37" i="17"/>
  <c r="G90" s="1"/>
  <c r="G106" i="12"/>
  <c r="D23" i="14"/>
  <c r="D47" s="1"/>
  <c r="F162" s="1"/>
  <c r="E77" i="11"/>
  <c r="G9" i="17"/>
  <c r="G62" s="1"/>
  <c r="E11" i="18"/>
  <c r="E42" s="1"/>
  <c r="F78" i="12"/>
  <c r="G54" i="17"/>
  <c r="G107" s="1"/>
  <c r="G123" i="12"/>
  <c r="E8" i="18"/>
  <c r="F75" i="12"/>
  <c r="E13" i="13"/>
  <c r="E70" s="1"/>
  <c r="F45" i="11"/>
  <c r="G35" i="17"/>
  <c r="G88" s="1"/>
  <c r="G104" i="12"/>
  <c r="D20" i="18"/>
  <c r="D51" s="1"/>
  <c r="E87" i="12"/>
  <c r="D29" i="14"/>
  <c r="D53" s="1"/>
  <c r="E83" i="11"/>
  <c r="G221" i="17"/>
  <c r="G154"/>
  <c r="F207"/>
  <c r="F140"/>
  <c r="G222"/>
  <c r="G155"/>
  <c r="G199"/>
  <c r="G132"/>
  <c r="C131" i="13"/>
  <c r="E189" s="1"/>
  <c r="E244"/>
  <c r="F206" i="17"/>
  <c r="F139"/>
  <c r="C154" i="13"/>
  <c r="E213" s="1"/>
  <c r="E267"/>
  <c r="D51"/>
  <c r="D108" s="1"/>
  <c r="E63" i="12"/>
  <c r="C132" i="13"/>
  <c r="E190" s="1"/>
  <c r="E245"/>
  <c r="D27" i="14"/>
  <c r="D51" s="1"/>
  <c r="E81" i="11"/>
  <c r="E15" i="18"/>
  <c r="E46" s="1"/>
  <c r="F82" i="12"/>
  <c r="F49" i="17"/>
  <c r="F102" s="1"/>
  <c r="F118" i="12"/>
  <c r="F50" i="17"/>
  <c r="F103" s="1"/>
  <c r="F119" i="12"/>
  <c r="G12" i="17"/>
  <c r="G65" s="1"/>
  <c r="F47"/>
  <c r="F100" s="1"/>
  <c r="F116" i="12"/>
  <c r="G203" i="17"/>
  <c r="G136"/>
  <c r="F208"/>
  <c r="F141"/>
  <c r="D64" i="14"/>
  <c r="D63"/>
  <c r="F142" s="1"/>
  <c r="F157"/>
  <c r="F237" i="13"/>
  <c r="D124"/>
  <c r="F182" s="1"/>
  <c r="C133"/>
  <c r="E191" s="1"/>
  <c r="E246"/>
  <c r="G202" i="17"/>
  <c r="G135"/>
  <c r="E15" i="14"/>
  <c r="E39" s="1"/>
  <c r="F69" i="11"/>
  <c r="E19" i="14"/>
  <c r="E43" s="1"/>
  <c r="F73" i="11"/>
  <c r="F23" i="17"/>
  <c r="F76" s="1"/>
  <c r="G240"/>
  <c r="G176"/>
  <c r="C159" i="13"/>
  <c r="E218" s="1"/>
  <c r="E272"/>
  <c r="D91"/>
  <c r="G226" i="17"/>
  <c r="G159"/>
  <c r="F274" i="13"/>
  <c r="D164"/>
  <c r="F223" s="1"/>
  <c r="F213" i="17"/>
  <c r="F146"/>
  <c r="E16" i="13"/>
  <c r="E73" s="1"/>
  <c r="F48" i="11"/>
  <c r="D21" i="13"/>
  <c r="D78" s="1"/>
  <c r="E53" i="11"/>
  <c r="E38" i="13"/>
  <c r="E95" s="1"/>
  <c r="F50" i="12"/>
  <c r="J29" i="15"/>
  <c r="C33" i="18"/>
  <c r="C60" i="13"/>
  <c r="D46"/>
  <c r="D103" s="1"/>
  <c r="E58" i="12"/>
  <c r="F22" i="17"/>
  <c r="F75" s="1"/>
  <c r="G36"/>
  <c r="G89" s="1"/>
  <c r="G105" i="12"/>
  <c r="E28" i="18"/>
  <c r="E56" s="1"/>
  <c r="F95" i="12"/>
  <c r="E39" i="13"/>
  <c r="E96" s="1"/>
  <c r="F51" i="12"/>
  <c r="G56" i="17"/>
  <c r="G109" s="1"/>
  <c r="G125" i="12"/>
  <c r="D21" i="18"/>
  <c r="D52" s="1"/>
  <c r="E88" i="12"/>
  <c r="F24" i="17"/>
  <c r="F77" s="1"/>
  <c r="E40" i="13"/>
  <c r="E97" s="1"/>
  <c r="F52" i="12"/>
  <c r="E31" i="18"/>
  <c r="E59" s="1"/>
  <c r="F98" i="12"/>
  <c r="F234" i="13"/>
  <c r="D121"/>
  <c r="F179" s="1"/>
  <c r="C128"/>
  <c r="E186" s="1"/>
  <c r="E241"/>
  <c r="C129"/>
  <c r="E187" s="1"/>
  <c r="E242"/>
  <c r="E41"/>
  <c r="E98" s="1"/>
  <c r="F53" i="12"/>
  <c r="D81" i="14"/>
  <c r="F158"/>
  <c r="D80"/>
  <c r="E269" i="13"/>
  <c r="C156"/>
  <c r="E215" s="1"/>
  <c r="F209" i="17"/>
  <c r="F142"/>
  <c r="F46"/>
  <c r="F99" s="1"/>
  <c r="F115" i="12"/>
  <c r="F276" i="13"/>
  <c r="D166"/>
  <c r="F225" s="1"/>
  <c r="E37"/>
  <c r="E94" s="1"/>
  <c r="F49" i="12"/>
  <c r="F233" i="13"/>
  <c r="D120"/>
  <c r="F178" s="1"/>
  <c r="E56"/>
  <c r="E113" s="1"/>
  <c r="F68" i="12"/>
  <c r="H142" i="10"/>
  <c r="H127"/>
  <c r="H172"/>
  <c r="H157"/>
  <c r="H34"/>
  <c r="E16" i="14"/>
  <c r="E40" s="1"/>
  <c r="F70" i="11"/>
  <c r="B13" i="7"/>
  <c r="E39" i="6"/>
  <c r="C135" i="13"/>
  <c r="E193" s="1"/>
  <c r="E248"/>
  <c r="G229" i="17"/>
  <c r="G162"/>
  <c r="F231"/>
  <c r="F164"/>
  <c r="F230"/>
  <c r="F163"/>
  <c r="G225"/>
  <c r="G158"/>
  <c r="G239"/>
  <c r="G175"/>
  <c r="F235" i="13"/>
  <c r="D122"/>
  <c r="F180" s="1"/>
  <c r="M56" i="4"/>
  <c r="M57" s="1"/>
  <c r="E182" i="17"/>
  <c r="C155" i="13"/>
  <c r="E214" s="1"/>
  <c r="E268"/>
  <c r="F210" i="17"/>
  <c r="F143"/>
  <c r="G224"/>
  <c r="G157"/>
  <c r="F232"/>
  <c r="F165"/>
  <c r="F158" i="18"/>
  <c r="F157"/>
  <c r="D120"/>
  <c r="D137" s="1"/>
  <c r="F150" s="1"/>
  <c r="F161"/>
  <c r="D119"/>
  <c r="D136" s="1"/>
  <c r="F149" s="1"/>
  <c r="D118"/>
  <c r="D135" s="1"/>
  <c r="F261" i="13"/>
  <c r="D148"/>
  <c r="F207" s="1"/>
  <c r="G241" i="17"/>
  <c r="G177"/>
  <c r="F236"/>
  <c r="F169"/>
  <c r="F212"/>
  <c r="F145"/>
  <c r="F262" i="13"/>
  <c r="D149"/>
  <c r="F208" s="1"/>
  <c r="G227" i="17"/>
  <c r="G160"/>
  <c r="G228"/>
  <c r="G161"/>
  <c r="F53"/>
  <c r="F106" s="1"/>
  <c r="G174" s="1"/>
  <c r="F122" i="12"/>
  <c r="G33" i="17"/>
  <c r="G86" s="1"/>
  <c r="G102" i="12"/>
  <c r="D24" i="18"/>
  <c r="D55" s="1"/>
  <c r="E91" i="12"/>
  <c r="F19" i="17"/>
  <c r="F72" s="1"/>
  <c r="E232" i="13"/>
  <c r="C119"/>
  <c r="D22" i="14"/>
  <c r="D46" s="1"/>
  <c r="E76" i="11"/>
  <c r="D177" i="13"/>
  <c r="G34" i="17"/>
  <c r="G87" s="1"/>
  <c r="G103" i="12"/>
  <c r="H11" i="7"/>
  <c r="K35" i="6"/>
  <c r="G11" i="17"/>
  <c r="G64" s="1"/>
  <c r="D22" i="13"/>
  <c r="D79" s="1"/>
  <c r="E54" i="11"/>
  <c r="F18" i="17"/>
  <c r="F71" s="1"/>
  <c r="D45" i="13"/>
  <c r="D102" s="1"/>
  <c r="E57" i="12"/>
  <c r="D27" i="18"/>
  <c r="E94" i="12"/>
  <c r="E162" i="18"/>
  <c r="E148"/>
  <c r="E153" s="1"/>
  <c r="E163"/>
  <c r="D23" i="13"/>
  <c r="D80" s="1"/>
  <c r="E55" i="11"/>
  <c r="F263" i="13"/>
  <c r="D150"/>
  <c r="F209" s="1"/>
  <c r="F277"/>
  <c r="D167"/>
  <c r="F226" s="1"/>
  <c r="C157"/>
  <c r="E216" s="1"/>
  <c r="E270"/>
  <c r="G15" i="17"/>
  <c r="G68" s="1"/>
  <c r="D23" i="18"/>
  <c r="D54" s="1"/>
  <c r="E90" i="12"/>
  <c r="F20" i="17"/>
  <c r="F73" s="1"/>
  <c r="E14" i="14"/>
  <c r="E38" s="1"/>
  <c r="F68" i="11"/>
  <c r="E15" i="13"/>
  <c r="E72" s="1"/>
  <c r="F47" i="11"/>
  <c r="D24" i="13"/>
  <c r="D81" s="1"/>
  <c r="E56" i="11"/>
  <c r="G14" i="17"/>
  <c r="G67" s="1"/>
  <c r="C143" i="13"/>
  <c r="E202" s="1"/>
  <c r="E256"/>
  <c r="E30" i="18"/>
  <c r="E58" s="1"/>
  <c r="F97" i="12"/>
  <c r="E67" i="4"/>
  <c r="F51"/>
  <c r="F234" i="17"/>
  <c r="F167"/>
  <c r="E57" i="13"/>
  <c r="E114" s="1"/>
  <c r="F69" i="12"/>
  <c r="F259" i="13"/>
  <c r="D146"/>
  <c r="F205" s="1"/>
  <c r="G55" i="17"/>
  <c r="G108" s="1"/>
  <c r="G124" i="12"/>
  <c r="D50" i="13"/>
  <c r="D107" s="1"/>
  <c r="E62" i="12"/>
  <c r="E34" i="13"/>
  <c r="F46" i="12"/>
  <c r="D25" i="18"/>
  <c r="E92" i="12"/>
  <c r="G38" i="17"/>
  <c r="G91" s="1"/>
  <c r="G107" i="12"/>
  <c r="D28" i="14"/>
  <c r="D52" s="1"/>
  <c r="E82" i="11"/>
  <c r="E55" i="13"/>
  <c r="E112" s="1"/>
  <c r="F67" i="12"/>
  <c r="F25" i="17"/>
  <c r="F78" s="1"/>
  <c r="D18" i="18"/>
  <c r="D49" s="1"/>
  <c r="E85" i="12"/>
  <c r="F159" i="14"/>
  <c r="D73"/>
  <c r="D72"/>
  <c r="F144" s="1"/>
  <c r="C158" i="13"/>
  <c r="E217" s="1"/>
  <c r="E271"/>
  <c r="M64" i="4"/>
  <c r="N61" s="1"/>
  <c r="E116" i="17"/>
  <c r="B64" i="13" l="1"/>
  <c r="D199" s="1"/>
  <c r="D228" s="1"/>
  <c r="E69" i="14"/>
  <c r="E68"/>
  <c r="G146" s="1"/>
  <c r="E67"/>
  <c r="G145" s="1"/>
  <c r="D164"/>
  <c r="D165"/>
  <c r="E183" i="17"/>
  <c r="G160" i="14"/>
  <c r="C32" i="13"/>
  <c r="C9" s="1"/>
  <c r="E115" i="17"/>
  <c r="F183" s="1"/>
  <c r="E119"/>
  <c r="D94" i="14"/>
  <c r="F161"/>
  <c r="D163"/>
  <c r="D284" i="13"/>
  <c r="N45" i="4"/>
  <c r="E188" i="17"/>
  <c r="E141" i="14"/>
  <c r="B35"/>
  <c r="D150" s="1"/>
  <c r="D152" s="1"/>
  <c r="D283" i="13"/>
  <c r="E118" i="17"/>
  <c r="F250" s="1"/>
  <c r="E184"/>
  <c r="E114"/>
  <c r="E254"/>
  <c r="F187"/>
  <c r="E84" i="11"/>
  <c r="D30" i="14"/>
  <c r="D54" s="1"/>
  <c r="D27" i="13"/>
  <c r="D84" s="1"/>
  <c r="E59" i="11"/>
  <c r="D30" i="13"/>
  <c r="D87" s="1"/>
  <c r="E62" i="11"/>
  <c r="E250" i="13"/>
  <c r="C137"/>
  <c r="E195" s="1"/>
  <c r="F150" i="17"/>
  <c r="F217"/>
  <c r="F239" i="13"/>
  <c r="D126"/>
  <c r="F184" s="1"/>
  <c r="E21" i="14"/>
  <c r="E45" s="1"/>
  <c r="F75" i="11"/>
  <c r="E20" i="14"/>
  <c r="E44" s="1"/>
  <c r="F74" i="11"/>
  <c r="E249" i="13"/>
  <c r="C136"/>
  <c r="E194" s="1"/>
  <c r="E187" i="17"/>
  <c r="E250"/>
  <c r="F15" i="6" s="1"/>
  <c r="E260" i="17" s="1"/>
  <c r="C139" i="13"/>
  <c r="E197" s="1"/>
  <c r="E252"/>
  <c r="D28"/>
  <c r="D85" s="1"/>
  <c r="E60" i="11"/>
  <c r="F29" i="17"/>
  <c r="F82" s="1"/>
  <c r="F49" i="11"/>
  <c r="E17" i="13"/>
  <c r="E74" s="1"/>
  <c r="C32" i="14"/>
  <c r="C12" s="1"/>
  <c r="F27" i="17"/>
  <c r="F80" s="1"/>
  <c r="D127" i="13"/>
  <c r="F185" s="1"/>
  <c r="F240"/>
  <c r="F28" i="17"/>
  <c r="F81" s="1"/>
  <c r="G137"/>
  <c r="G204"/>
  <c r="E29" i="13"/>
  <c r="E86" s="1"/>
  <c r="F61" i="11"/>
  <c r="D31" i="14"/>
  <c r="D55" s="1"/>
  <c r="E85" i="11"/>
  <c r="F148" i="17"/>
  <c r="F215"/>
  <c r="F50" i="11"/>
  <c r="E18" i="13"/>
  <c r="E75" s="1"/>
  <c r="F216" i="17"/>
  <c r="F149"/>
  <c r="E253"/>
  <c r="G16"/>
  <c r="G69" s="1"/>
  <c r="F251" i="13"/>
  <c r="D138"/>
  <c r="F196" s="1"/>
  <c r="D260" i="17"/>
  <c r="D262" s="1"/>
  <c r="E47" i="6" s="1"/>
  <c r="O39" i="4"/>
  <c r="O40"/>
  <c r="P37" s="1"/>
  <c r="P38" s="1"/>
  <c r="F17" i="14"/>
  <c r="F41" s="1"/>
  <c r="G71" i="11"/>
  <c r="F14" i="13"/>
  <c r="F71" s="1"/>
  <c r="G46" i="11"/>
  <c r="B12" i="7"/>
  <c r="C129" i="10" s="1"/>
  <c r="H201" i="17"/>
  <c r="H134"/>
  <c r="H13"/>
  <c r="H66" s="1"/>
  <c r="I13"/>
  <c r="I66" s="1"/>
  <c r="G236" i="13"/>
  <c r="E123"/>
  <c r="G181" s="1"/>
  <c r="D60"/>
  <c r="E50"/>
  <c r="E107" s="1"/>
  <c r="F62" i="12"/>
  <c r="F30" i="18"/>
  <c r="F58" s="1"/>
  <c r="G97" i="12"/>
  <c r="H15" i="17"/>
  <c r="H68" s="1"/>
  <c r="I15"/>
  <c r="I68" s="1"/>
  <c r="G206"/>
  <c r="G139"/>
  <c r="H221"/>
  <c r="H154"/>
  <c r="G159" i="14"/>
  <c r="E73"/>
  <c r="E72"/>
  <c r="G144" s="1"/>
  <c r="F37" i="13"/>
  <c r="F94" s="1"/>
  <c r="G49" i="12"/>
  <c r="H56" i="17"/>
  <c r="H109" s="1"/>
  <c r="H125" i="12"/>
  <c r="I56" i="17" s="1"/>
  <c r="I109" s="1"/>
  <c r="F19" i="14"/>
  <c r="F43" s="1"/>
  <c r="G73" i="11"/>
  <c r="F273" i="13"/>
  <c r="D160"/>
  <c r="F219" s="1"/>
  <c r="F16" i="14"/>
  <c r="F40" s="1"/>
  <c r="G70" i="11"/>
  <c r="F268" i="13"/>
  <c r="D155"/>
  <c r="F214" s="1"/>
  <c r="E147"/>
  <c r="G206" s="1"/>
  <c r="G260"/>
  <c r="G238"/>
  <c r="E125"/>
  <c r="G183" s="1"/>
  <c r="G211" i="17"/>
  <c r="G144"/>
  <c r="H12"/>
  <c r="H65" s="1"/>
  <c r="I12"/>
  <c r="I65" s="1"/>
  <c r="G49"/>
  <c r="G102" s="1"/>
  <c r="G118" i="12"/>
  <c r="E27" i="14"/>
  <c r="E51" s="1"/>
  <c r="F81" i="11"/>
  <c r="E51" i="13"/>
  <c r="E108" s="1"/>
  <c r="F63" i="12"/>
  <c r="E20" i="18"/>
  <c r="E51" s="1"/>
  <c r="F87" i="12"/>
  <c r="F13" i="13"/>
  <c r="F70" s="1"/>
  <c r="G45" i="11"/>
  <c r="H54" i="17"/>
  <c r="H107" s="1"/>
  <c r="H123" i="12"/>
  <c r="I54" i="17" s="1"/>
  <c r="I107" s="1"/>
  <c r="H9"/>
  <c r="H62" s="1"/>
  <c r="I9"/>
  <c r="I62" s="1"/>
  <c r="H37"/>
  <c r="H90" s="1"/>
  <c r="H106" i="12"/>
  <c r="I37" i="17" s="1"/>
  <c r="I90" s="1"/>
  <c r="G42"/>
  <c r="G95" s="1"/>
  <c r="G111" i="12"/>
  <c r="E17" i="18"/>
  <c r="E48" s="1"/>
  <c r="F84" i="12"/>
  <c r="G43" i="17"/>
  <c r="G96" s="1"/>
  <c r="G112" i="12"/>
  <c r="H41" i="17"/>
  <c r="H94" s="1"/>
  <c r="H110" i="12"/>
  <c r="I41" i="17" s="1"/>
  <c r="I94" s="1"/>
  <c r="H10"/>
  <c r="H63" s="1"/>
  <c r="I10"/>
  <c r="I63" s="1"/>
  <c r="E151" i="13"/>
  <c r="G210" s="1"/>
  <c r="G264"/>
  <c r="L66" i="4"/>
  <c r="C97" s="1"/>
  <c r="L51"/>
  <c r="F270" i="13"/>
  <c r="D157"/>
  <c r="F216" s="1"/>
  <c r="H40" i="17"/>
  <c r="H93" s="1"/>
  <c r="H109" i="12"/>
  <c r="I40" i="17" s="1"/>
  <c r="I93" s="1"/>
  <c r="F12" i="18"/>
  <c r="F43" s="1"/>
  <c r="G79" i="12"/>
  <c r="F265" i="13"/>
  <c r="D152"/>
  <c r="F211" s="1"/>
  <c r="F269"/>
  <c r="D156"/>
  <c r="F215" s="1"/>
  <c r="E145"/>
  <c r="G204" s="1"/>
  <c r="G258"/>
  <c r="G233" i="17"/>
  <c r="G166"/>
  <c r="F242" i="13"/>
  <c r="D129"/>
  <c r="F187" s="1"/>
  <c r="F241"/>
  <c r="D128"/>
  <c r="F186" s="1"/>
  <c r="F58"/>
  <c r="F115" s="1"/>
  <c r="G70" i="12"/>
  <c r="G236" i="17"/>
  <c r="G169"/>
  <c r="G25"/>
  <c r="G78" s="1"/>
  <c r="H14"/>
  <c r="H67" s="1"/>
  <c r="I14"/>
  <c r="I67" s="1"/>
  <c r="H199"/>
  <c r="H132"/>
  <c r="I158" i="10"/>
  <c r="I143"/>
  <c r="I35"/>
  <c r="I173"/>
  <c r="I128"/>
  <c r="G207" i="17"/>
  <c r="G140"/>
  <c r="F41" i="13"/>
  <c r="F98" s="1"/>
  <c r="G53" i="12"/>
  <c r="G24" i="17"/>
  <c r="G77" s="1"/>
  <c r="G22"/>
  <c r="G75" s="1"/>
  <c r="H200"/>
  <c r="H133"/>
  <c r="G235" i="13"/>
  <c r="E122"/>
  <c r="G180" s="1"/>
  <c r="H197" i="17"/>
  <c r="H130"/>
  <c r="G230"/>
  <c r="G163"/>
  <c r="G231"/>
  <c r="G164"/>
  <c r="H198"/>
  <c r="H131"/>
  <c r="F12" i="13"/>
  <c r="F69" s="1"/>
  <c r="M49" i="4"/>
  <c r="L68"/>
  <c r="E26" i="13"/>
  <c r="E83" s="1"/>
  <c r="F58" i="11"/>
  <c r="F10" i="13"/>
  <c r="G42" i="11"/>
  <c r="F49" i="4"/>
  <c r="E68"/>
  <c r="F18" i="14"/>
  <c r="F42" s="1"/>
  <c r="G72" i="11"/>
  <c r="H57" i="17"/>
  <c r="H110" s="1"/>
  <c r="H126" i="12"/>
  <c r="I57" i="17" s="1"/>
  <c r="I110" s="1"/>
  <c r="E22" i="18"/>
  <c r="E53" s="1"/>
  <c r="F89" i="12"/>
  <c r="E25" i="13"/>
  <c r="E82" s="1"/>
  <c r="F57" i="11"/>
  <c r="G44" i="17"/>
  <c r="G97" s="1"/>
  <c r="G113" i="12"/>
  <c r="H226" i="17"/>
  <c r="H159"/>
  <c r="H240"/>
  <c r="H176"/>
  <c r="E64" i="14"/>
  <c r="E63"/>
  <c r="G142" s="1"/>
  <c r="G157"/>
  <c r="F245" i="13"/>
  <c r="D132"/>
  <c r="F190" s="1"/>
  <c r="G18" i="17"/>
  <c r="G71" s="1"/>
  <c r="H222"/>
  <c r="H155"/>
  <c r="E22" i="14"/>
  <c r="E46" s="1"/>
  <c r="F76" i="11"/>
  <c r="H33" i="17"/>
  <c r="H86" s="1"/>
  <c r="H102" i="12"/>
  <c r="I33" i="17" s="1"/>
  <c r="I86" s="1"/>
  <c r="E149" i="13"/>
  <c r="G208" s="1"/>
  <c r="G262"/>
  <c r="H224" i="17"/>
  <c r="H157"/>
  <c r="F251"/>
  <c r="F188"/>
  <c r="E18" i="18"/>
  <c r="E49" s="1"/>
  <c r="F85" i="12"/>
  <c r="F55" i="13"/>
  <c r="F112" s="1"/>
  <c r="G67" i="12"/>
  <c r="H38" i="17"/>
  <c r="H91" s="1"/>
  <c r="H107" i="12"/>
  <c r="I38" i="17" s="1"/>
  <c r="I91" s="1"/>
  <c r="F34" i="13"/>
  <c r="G46" i="12"/>
  <c r="H55" i="17"/>
  <c r="H108" s="1"/>
  <c r="H124" i="12"/>
  <c r="I55" i="17" s="1"/>
  <c r="I108" s="1"/>
  <c r="F57" i="13"/>
  <c r="F114" s="1"/>
  <c r="G69" i="12"/>
  <c r="F67" i="4"/>
  <c r="G51"/>
  <c r="E24" i="13"/>
  <c r="E81" s="1"/>
  <c r="F56" i="11"/>
  <c r="F14" i="14"/>
  <c r="F38" s="1"/>
  <c r="G68" i="11"/>
  <c r="E23" i="18"/>
  <c r="E54" s="1"/>
  <c r="F90" i="12"/>
  <c r="E23" i="13"/>
  <c r="E80" s="1"/>
  <c r="F55" i="11"/>
  <c r="F267" i="13"/>
  <c r="D154"/>
  <c r="F213" s="1"/>
  <c r="F244"/>
  <c r="D131"/>
  <c r="F189" s="1"/>
  <c r="H34" i="17"/>
  <c r="H87" s="1"/>
  <c r="H103" i="12"/>
  <c r="I34" i="17" s="1"/>
  <c r="I87" s="1"/>
  <c r="F56" i="13"/>
  <c r="F113" s="1"/>
  <c r="G68" i="12"/>
  <c r="F40" i="13"/>
  <c r="F97" s="1"/>
  <c r="G52" i="12"/>
  <c r="E21" i="18"/>
  <c r="E52" s="1"/>
  <c r="F88" i="12"/>
  <c r="F39" i="13"/>
  <c r="F96" s="1"/>
  <c r="G51" i="12"/>
  <c r="H36" i="17"/>
  <c r="H89" s="1"/>
  <c r="H105" i="12"/>
  <c r="I36" i="17" s="1"/>
  <c r="I89" s="1"/>
  <c r="E46" i="13"/>
  <c r="E103" s="1"/>
  <c r="F58" i="12"/>
  <c r="J40" i="15"/>
  <c r="J42" s="1"/>
  <c r="H20" i="7"/>
  <c r="K51" i="6"/>
  <c r="F38" i="13"/>
  <c r="F95" s="1"/>
  <c r="G50" i="12"/>
  <c r="F16" i="13"/>
  <c r="F73" s="1"/>
  <c r="G48" i="11"/>
  <c r="G23" i="17"/>
  <c r="G76" s="1"/>
  <c r="F15" i="14"/>
  <c r="F39" s="1"/>
  <c r="G69" i="11"/>
  <c r="G235" i="17"/>
  <c r="G168"/>
  <c r="G238"/>
  <c r="G171"/>
  <c r="H223"/>
  <c r="H156"/>
  <c r="E39" i="18"/>
  <c r="D97" i="14"/>
  <c r="F147" s="1"/>
  <c r="F156"/>
  <c r="D98"/>
  <c r="F148" s="1"/>
  <c r="F42" i="13"/>
  <c r="F99" s="1"/>
  <c r="G54" i="12"/>
  <c r="E48" i="13"/>
  <c r="E105" s="1"/>
  <c r="F60" i="12"/>
  <c r="H227" i="17"/>
  <c r="H160"/>
  <c r="E43" i="13"/>
  <c r="E100" s="1"/>
  <c r="F55" i="12"/>
  <c r="E24" i="14"/>
  <c r="E48" s="1"/>
  <c r="F78" i="11"/>
  <c r="F29" i="18"/>
  <c r="F57" s="1"/>
  <c r="G96" i="12"/>
  <c r="E47" i="13"/>
  <c r="E104" s="1"/>
  <c r="F59" i="12"/>
  <c r="G51" i="17"/>
  <c r="G104" s="1"/>
  <c r="H172" s="1"/>
  <c r="G120" i="12"/>
  <c r="F36" i="13"/>
  <c r="F93" s="1"/>
  <c r="G48" i="12"/>
  <c r="F14" i="18"/>
  <c r="F45" s="1"/>
  <c r="G81" i="12"/>
  <c r="G45" i="17"/>
  <c r="G98" s="1"/>
  <c r="G114" i="12"/>
  <c r="E20" i="13"/>
  <c r="E77" s="1"/>
  <c r="F52" i="11"/>
  <c r="E19" i="13"/>
  <c r="E76" s="1"/>
  <c r="F51" i="11"/>
  <c r="E19" i="18"/>
  <c r="E50" s="1"/>
  <c r="F86" i="12"/>
  <c r="G48" i="17"/>
  <c r="G101" s="1"/>
  <c r="G117" i="12"/>
  <c r="E168" i="14"/>
  <c r="D33" i="18"/>
  <c r="E28" i="14"/>
  <c r="E52" s="1"/>
  <c r="F82" i="11"/>
  <c r="E25" i="18"/>
  <c r="F92" i="12"/>
  <c r="F15" i="13"/>
  <c r="F72" s="1"/>
  <c r="G47" i="11"/>
  <c r="G20" i="17"/>
  <c r="G73" s="1"/>
  <c r="G46"/>
  <c r="G99" s="1"/>
  <c r="G115" i="12"/>
  <c r="F31" i="18"/>
  <c r="F59" s="1"/>
  <c r="G98" i="12"/>
  <c r="F28" i="18"/>
  <c r="F56" s="1"/>
  <c r="G95" i="12"/>
  <c r="E21" i="13"/>
  <c r="E78" s="1"/>
  <c r="F53" i="11"/>
  <c r="G237" i="17"/>
  <c r="G170"/>
  <c r="H239"/>
  <c r="H175"/>
  <c r="H225"/>
  <c r="H158"/>
  <c r="H229"/>
  <c r="H162"/>
  <c r="D159" i="18"/>
  <c r="D160"/>
  <c r="E26" i="14"/>
  <c r="E50" s="1"/>
  <c r="F80" i="11"/>
  <c r="E26" i="18"/>
  <c r="F93" i="12"/>
  <c r="H228" i="17"/>
  <c r="H161"/>
  <c r="F11" i="13"/>
  <c r="F68" s="1"/>
  <c r="G43" i="11"/>
  <c r="F13" i="14"/>
  <c r="G67" i="11"/>
  <c r="G21" i="17"/>
  <c r="G74" s="1"/>
  <c r="F13" i="18"/>
  <c r="F44" s="1"/>
  <c r="G80" i="12"/>
  <c r="F35" i="13"/>
  <c r="F92" s="1"/>
  <c r="G47" i="12"/>
  <c r="E44" i="13"/>
  <c r="E101" s="1"/>
  <c r="F56" i="12"/>
  <c r="E49" i="13"/>
  <c r="E106" s="1"/>
  <c r="F61" i="12"/>
  <c r="E167" i="13"/>
  <c r="G226" s="1"/>
  <c r="G277"/>
  <c r="O44" i="4"/>
  <c r="O46" s="1"/>
  <c r="P43" s="1"/>
  <c r="E164" i="13"/>
  <c r="G223" s="1"/>
  <c r="G274"/>
  <c r="E91"/>
  <c r="E166"/>
  <c r="G225" s="1"/>
  <c r="G276"/>
  <c r="F246"/>
  <c r="D133"/>
  <c r="F191" s="1"/>
  <c r="E27" i="18"/>
  <c r="F94" i="12"/>
  <c r="H11" i="17"/>
  <c r="H64" s="1"/>
  <c r="I11"/>
  <c r="I64" s="1"/>
  <c r="G19"/>
  <c r="G72" s="1"/>
  <c r="F148" i="18"/>
  <c r="F153" s="1"/>
  <c r="F163"/>
  <c r="F162"/>
  <c r="E165" i="13"/>
  <c r="G224" s="1"/>
  <c r="G275"/>
  <c r="E148"/>
  <c r="G207" s="1"/>
  <c r="G261"/>
  <c r="F247" i="17"/>
  <c r="F184"/>
  <c r="N62" i="4"/>
  <c r="N63" s="1"/>
  <c r="G213" i="17"/>
  <c r="G146"/>
  <c r="F272" i="13"/>
  <c r="D159"/>
  <c r="F218" s="1"/>
  <c r="H202" i="17"/>
  <c r="H135"/>
  <c r="G237" i="13"/>
  <c r="E124"/>
  <c r="G182" s="1"/>
  <c r="G208" i="17"/>
  <c r="G141"/>
  <c r="H203"/>
  <c r="H136"/>
  <c r="F39" i="6"/>
  <c r="C13" i="7"/>
  <c r="E45" i="13"/>
  <c r="E102" s="1"/>
  <c r="F57" i="12"/>
  <c r="E22" i="13"/>
  <c r="E79" s="1"/>
  <c r="F54" i="11"/>
  <c r="E177" i="13"/>
  <c r="E24" i="18"/>
  <c r="E55" s="1"/>
  <c r="F91" i="12"/>
  <c r="G53" i="17"/>
  <c r="G106" s="1"/>
  <c r="H174" s="1"/>
  <c r="G122" i="12"/>
  <c r="C130" i="10"/>
  <c r="C37"/>
  <c r="C175"/>
  <c r="C145"/>
  <c r="C160"/>
  <c r="E146" i="13"/>
  <c r="G205" s="1"/>
  <c r="G259"/>
  <c r="G234" i="17"/>
  <c r="G167"/>
  <c r="F143" i="14"/>
  <c r="E150" i="13"/>
  <c r="G209" s="1"/>
  <c r="G263"/>
  <c r="G212" i="17"/>
  <c r="G145"/>
  <c r="H241"/>
  <c r="H177"/>
  <c r="E118" i="18"/>
  <c r="E135" s="1"/>
  <c r="G158"/>
  <c r="G157"/>
  <c r="E120"/>
  <c r="E137" s="1"/>
  <c r="G150" s="1"/>
  <c r="G161"/>
  <c r="E119"/>
  <c r="E136" s="1"/>
  <c r="G149" s="1"/>
  <c r="G210" i="17"/>
  <c r="G143"/>
  <c r="C36" i="18"/>
  <c r="C6"/>
  <c r="F243" i="13"/>
  <c r="D130"/>
  <c r="F188" s="1"/>
  <c r="F256"/>
  <c r="D143"/>
  <c r="F202" s="1"/>
  <c r="G47" i="17"/>
  <c r="G100" s="1"/>
  <c r="G116" i="12"/>
  <c r="G50" i="17"/>
  <c r="G103" s="1"/>
  <c r="G119" i="12"/>
  <c r="F15" i="18"/>
  <c r="F46" s="1"/>
  <c r="G82" i="12"/>
  <c r="E29" i="14"/>
  <c r="E53" s="1"/>
  <c r="F83" i="11"/>
  <c r="H35" i="17"/>
  <c r="H88" s="1"/>
  <c r="H104" i="12"/>
  <c r="I35" i="17" s="1"/>
  <c r="I88" s="1"/>
  <c r="F8" i="18"/>
  <c r="G75" i="12"/>
  <c r="F11" i="18"/>
  <c r="F42" s="1"/>
  <c r="G78" i="12"/>
  <c r="E23" i="14"/>
  <c r="E47" s="1"/>
  <c r="G162" s="1"/>
  <c r="F77" i="11"/>
  <c r="E16" i="18"/>
  <c r="E47" s="1"/>
  <c r="F83" i="12"/>
  <c r="F10" i="18"/>
  <c r="F41" s="1"/>
  <c r="G77" i="12"/>
  <c r="G234" i="13"/>
  <c r="E121"/>
  <c r="G179" s="1"/>
  <c r="F9" i="18"/>
  <c r="F40" s="1"/>
  <c r="G76" i="12"/>
  <c r="F232" i="13"/>
  <c r="D119"/>
  <c r="H39" i="17"/>
  <c r="H92" s="1"/>
  <c r="H108" i="12"/>
  <c r="I39" i="17" s="1"/>
  <c r="I92" s="1"/>
  <c r="G52"/>
  <c r="G105" s="1"/>
  <c r="H173" s="1"/>
  <c r="G121" i="12"/>
  <c r="E25" i="14"/>
  <c r="E49" s="1"/>
  <c r="F79" i="11"/>
  <c r="F248" i="13"/>
  <c r="D135"/>
  <c r="F193" s="1"/>
  <c r="G233"/>
  <c r="E120"/>
  <c r="G178" s="1"/>
  <c r="E67"/>
  <c r="E37" i="14"/>
  <c r="G209" i="17"/>
  <c r="G142"/>
  <c r="E81" i="14"/>
  <c r="G158"/>
  <c r="E80"/>
  <c r="H242" i="17"/>
  <c r="H178"/>
  <c r="E144" i="13"/>
  <c r="G203" s="1"/>
  <c r="G257"/>
  <c r="F247"/>
  <c r="D134"/>
  <c r="F192" s="1"/>
  <c r="F266"/>
  <c r="D153"/>
  <c r="F212" s="1"/>
  <c r="F271"/>
  <c r="D158"/>
  <c r="F217" s="1"/>
  <c r="E259" i="17"/>
  <c r="G232"/>
  <c r="G165"/>
  <c r="M58" i="4"/>
  <c r="N55" s="1"/>
  <c r="E167" i="14"/>
  <c r="P39" i="4" l="1"/>
  <c r="F69" i="14"/>
  <c r="F68"/>
  <c r="H146" s="1"/>
  <c r="F67"/>
  <c r="H145" s="1"/>
  <c r="D166"/>
  <c r="E36" i="6"/>
  <c r="F246" i="17"/>
  <c r="H160" i="14"/>
  <c r="D282" i="13"/>
  <c r="F118" i="17"/>
  <c r="G250" s="1"/>
  <c r="E94" i="14"/>
  <c r="G161"/>
  <c r="F116" i="17"/>
  <c r="E284" i="13"/>
  <c r="F114" i="17"/>
  <c r="E191"/>
  <c r="F34" i="6" s="1"/>
  <c r="F254" i="17"/>
  <c r="F141" i="14"/>
  <c r="C64" i="13"/>
  <c r="E199" s="1"/>
  <c r="E228" s="1"/>
  <c r="E281"/>
  <c r="G6" i="6"/>
  <c r="F259" i="17" s="1"/>
  <c r="D274"/>
  <c r="D276" s="1"/>
  <c r="C144" i="10"/>
  <c r="B8" i="7"/>
  <c r="F182" i="17"/>
  <c r="F191" s="1"/>
  <c r="F245"/>
  <c r="G15" i="6" s="1"/>
  <c r="B22" i="7"/>
  <c r="F253" i="17"/>
  <c r="D32" i="13"/>
  <c r="D9" s="1"/>
  <c r="D32" i="14"/>
  <c r="D35" s="1"/>
  <c r="E262" i="17"/>
  <c r="E274" s="1"/>
  <c r="E283" i="13"/>
  <c r="F249"/>
  <c r="D136"/>
  <c r="F194" s="1"/>
  <c r="F119" i="17"/>
  <c r="G251" s="1"/>
  <c r="F115"/>
  <c r="G183" s="1"/>
  <c r="C174" i="10"/>
  <c r="H204" i="17"/>
  <c r="H137"/>
  <c r="G240" i="13"/>
  <c r="E127"/>
  <c r="G185" s="1"/>
  <c r="G251"/>
  <c r="E138"/>
  <c r="G196" s="1"/>
  <c r="G28" i="17"/>
  <c r="G81" s="1"/>
  <c r="G215"/>
  <c r="G148"/>
  <c r="G29"/>
  <c r="G82" s="1"/>
  <c r="F21" i="14"/>
  <c r="F45" s="1"/>
  <c r="G75" i="11"/>
  <c r="E30" i="13"/>
  <c r="E87" s="1"/>
  <c r="F62" i="11"/>
  <c r="H16" i="17"/>
  <c r="H69" s="1"/>
  <c r="I16"/>
  <c r="I69" s="1"/>
  <c r="F29" i="13"/>
  <c r="F86" s="1"/>
  <c r="G61" i="11"/>
  <c r="G27" i="17"/>
  <c r="G80" s="1"/>
  <c r="F250" i="13"/>
  <c r="D137"/>
  <c r="F195" s="1"/>
  <c r="C36" i="10"/>
  <c r="F18" i="13"/>
  <c r="F75" s="1"/>
  <c r="G50" i="11"/>
  <c r="E31" i="14"/>
  <c r="E55" s="1"/>
  <c r="F85" i="11"/>
  <c r="C35" i="14"/>
  <c r="E163"/>
  <c r="G217" i="17"/>
  <c r="G150"/>
  <c r="D139" i="13"/>
  <c r="F197" s="1"/>
  <c r="F252"/>
  <c r="F84" i="11"/>
  <c r="E30" i="14"/>
  <c r="E54" s="1"/>
  <c r="G149" i="17"/>
  <c r="G216"/>
  <c r="F17" i="13"/>
  <c r="F74" s="1"/>
  <c r="G49" i="11"/>
  <c r="C159" i="10"/>
  <c r="G239" i="13"/>
  <c r="E126"/>
  <c r="G184" s="1"/>
  <c r="E28"/>
  <c r="E85" s="1"/>
  <c r="F60" i="11"/>
  <c r="G74"/>
  <c r="F20" i="14"/>
  <c r="F44" s="1"/>
  <c r="E27" i="13"/>
  <c r="E84" s="1"/>
  <c r="F59" i="11"/>
  <c r="O45" i="4"/>
  <c r="I201" i="17"/>
  <c r="I134"/>
  <c r="F168" i="14"/>
  <c r="H46" i="11"/>
  <c r="H14" i="13" s="1"/>
  <c r="H71" s="1"/>
  <c r="G14"/>
  <c r="G71" s="1"/>
  <c r="G17" i="14"/>
  <c r="G41" s="1"/>
  <c r="H71" i="11"/>
  <c r="H17" i="14" s="1"/>
  <c r="H41" s="1"/>
  <c r="F167"/>
  <c r="F123" i="13"/>
  <c r="H181" s="1"/>
  <c r="H236"/>
  <c r="N64" i="4"/>
  <c r="O61" s="1"/>
  <c r="J201" i="17"/>
  <c r="J134"/>
  <c r="E18" i="6"/>
  <c r="F9" s="1"/>
  <c r="I227" i="17"/>
  <c r="I160"/>
  <c r="G244" i="13"/>
  <c r="E131"/>
  <c r="G189" s="1"/>
  <c r="I199" i="17"/>
  <c r="I132"/>
  <c r="E143" i="13"/>
  <c r="G202" s="1"/>
  <c r="G256"/>
  <c r="F37" i="14"/>
  <c r="H161" i="18"/>
  <c r="F119"/>
  <c r="F136" s="1"/>
  <c r="H149" s="1"/>
  <c r="F118"/>
  <c r="F135" s="1"/>
  <c r="H158"/>
  <c r="H157"/>
  <c r="F120"/>
  <c r="F137" s="1"/>
  <c r="H150" s="1"/>
  <c r="F151" i="13"/>
  <c r="H210" s="1"/>
  <c r="H264"/>
  <c r="H23" i="17"/>
  <c r="H76" s="1"/>
  <c r="I23"/>
  <c r="I76" s="1"/>
  <c r="E155" i="13"/>
  <c r="G214" s="1"/>
  <c r="G268"/>
  <c r="F165"/>
  <c r="H224" s="1"/>
  <c r="H275"/>
  <c r="I240" i="17"/>
  <c r="I176"/>
  <c r="F22" i="14"/>
  <c r="F46" s="1"/>
  <c r="G76" i="11"/>
  <c r="H232" i="17"/>
  <c r="H165"/>
  <c r="F81" i="14"/>
  <c r="H158"/>
  <c r="F80"/>
  <c r="M65" i="4"/>
  <c r="M50"/>
  <c r="M66" s="1"/>
  <c r="D97" s="1"/>
  <c r="H24" i="17"/>
  <c r="H77" s="1"/>
  <c r="I24"/>
  <c r="I77" s="1"/>
  <c r="H213"/>
  <c r="H146"/>
  <c r="G58" i="13"/>
  <c r="G115" s="1"/>
  <c r="H70" i="12"/>
  <c r="H58" i="13" s="1"/>
  <c r="H115" s="1"/>
  <c r="J228" i="17"/>
  <c r="J161"/>
  <c r="B9" i="7"/>
  <c r="E37" i="6"/>
  <c r="J229" i="17"/>
  <c r="J162"/>
  <c r="F17" i="18"/>
  <c r="F48" s="1"/>
  <c r="G84" i="12"/>
  <c r="H42" i="17"/>
  <c r="H95" s="1"/>
  <c r="H111" i="12"/>
  <c r="I42" i="17" s="1"/>
  <c r="I95" s="1"/>
  <c r="J197"/>
  <c r="J130"/>
  <c r="H45" i="11"/>
  <c r="H13" i="13" s="1"/>
  <c r="H70" s="1"/>
  <c r="G13"/>
  <c r="G70" s="1"/>
  <c r="F51"/>
  <c r="F108" s="1"/>
  <c r="G63" i="12"/>
  <c r="H49" i="17"/>
  <c r="H102" s="1"/>
  <c r="H118" i="12"/>
  <c r="I49" i="17" s="1"/>
  <c r="I102" s="1"/>
  <c r="H49" i="12"/>
  <c r="H37" i="13" s="1"/>
  <c r="H94" s="1"/>
  <c r="G37"/>
  <c r="G94" s="1"/>
  <c r="F25" i="14"/>
  <c r="F49" s="1"/>
  <c r="G79" i="11"/>
  <c r="J227" i="17"/>
  <c r="J160"/>
  <c r="G9" i="18"/>
  <c r="G40" s="1"/>
  <c r="H76" i="12"/>
  <c r="H9" i="18" s="1"/>
  <c r="H40" s="1"/>
  <c r="G10"/>
  <c r="G41" s="1"/>
  <c r="H77" i="12"/>
  <c r="H10" i="18" s="1"/>
  <c r="H41" s="1"/>
  <c r="F16"/>
  <c r="F47" s="1"/>
  <c r="G83" i="12"/>
  <c r="F23" i="14"/>
  <c r="F47" s="1"/>
  <c r="H162" s="1"/>
  <c r="G77" i="11"/>
  <c r="G8" i="18"/>
  <c r="H75" i="12"/>
  <c r="H8" i="18" s="1"/>
  <c r="F29" i="14"/>
  <c r="F53" s="1"/>
  <c r="G83" i="11"/>
  <c r="G15" i="18"/>
  <c r="G46" s="1"/>
  <c r="H82" i="12"/>
  <c r="H15" i="18" s="1"/>
  <c r="H46" s="1"/>
  <c r="H47" i="17"/>
  <c r="H100" s="1"/>
  <c r="H116" i="12"/>
  <c r="I47" i="17" s="1"/>
  <c r="I100" s="1"/>
  <c r="F24" i="18"/>
  <c r="F55" s="1"/>
  <c r="G91" i="12"/>
  <c r="F22" i="13"/>
  <c r="F79" s="1"/>
  <c r="G54" i="11"/>
  <c r="D145" i="10"/>
  <c r="D130"/>
  <c r="D175"/>
  <c r="D160"/>
  <c r="D37"/>
  <c r="J199" i="17"/>
  <c r="J132"/>
  <c r="F44" i="13"/>
  <c r="F101" s="1"/>
  <c r="G56" i="12"/>
  <c r="G13" i="18"/>
  <c r="G44" s="1"/>
  <c r="H80" i="12"/>
  <c r="H13" i="18" s="1"/>
  <c r="H44" s="1"/>
  <c r="G13" i="14"/>
  <c r="H67" i="11"/>
  <c r="H13" i="14" s="1"/>
  <c r="F26" i="18"/>
  <c r="G93" i="12"/>
  <c r="G26" i="18" s="1"/>
  <c r="G28"/>
  <c r="G56" s="1"/>
  <c r="H95" i="12"/>
  <c r="H28" i="18" s="1"/>
  <c r="H56" s="1"/>
  <c r="H20" i="17"/>
  <c r="H73" s="1"/>
  <c r="I20"/>
  <c r="I73" s="1"/>
  <c r="F25" i="18"/>
  <c r="G92" i="12"/>
  <c r="G25" i="18" s="1"/>
  <c r="F19"/>
  <c r="F50" s="1"/>
  <c r="G86" i="12"/>
  <c r="F20" i="13"/>
  <c r="F77" s="1"/>
  <c r="G52" i="11"/>
  <c r="G14" i="18"/>
  <c r="G45" s="1"/>
  <c r="H81" i="12"/>
  <c r="H14" i="18" s="1"/>
  <c r="H45" s="1"/>
  <c r="H51" i="17"/>
  <c r="H104" s="1"/>
  <c r="I172" s="1"/>
  <c r="H120" i="12"/>
  <c r="I51" i="17" s="1"/>
  <c r="I104" s="1"/>
  <c r="G29" i="18"/>
  <c r="G57" s="1"/>
  <c r="H96" i="12"/>
  <c r="H29" i="18" s="1"/>
  <c r="H57" s="1"/>
  <c r="F24" i="14"/>
  <c r="F48" s="1"/>
  <c r="G78" i="11"/>
  <c r="F48" i="13"/>
  <c r="F105" s="1"/>
  <c r="G60" i="12"/>
  <c r="H54"/>
  <c r="H42" i="13" s="1"/>
  <c r="H99" s="1"/>
  <c r="G42"/>
  <c r="G99" s="1"/>
  <c r="H238"/>
  <c r="F125"/>
  <c r="H183" s="1"/>
  <c r="F46"/>
  <c r="F103" s="1"/>
  <c r="G58" i="12"/>
  <c r="H51"/>
  <c r="H39" i="13" s="1"/>
  <c r="H96" s="1"/>
  <c r="G39"/>
  <c r="G96" s="1"/>
  <c r="H52" i="12"/>
  <c r="H40" i="13" s="1"/>
  <c r="H97" s="1"/>
  <c r="G40"/>
  <c r="G97" s="1"/>
  <c r="G56"/>
  <c r="G113" s="1"/>
  <c r="H68" i="12"/>
  <c r="H56" i="13" s="1"/>
  <c r="H113" s="1"/>
  <c r="F23"/>
  <c r="F80" s="1"/>
  <c r="G55" i="11"/>
  <c r="G14" i="14"/>
  <c r="G38" s="1"/>
  <c r="H68" i="11"/>
  <c r="H14" i="14" s="1"/>
  <c r="H38" s="1"/>
  <c r="H51" i="4"/>
  <c r="G67"/>
  <c r="J240" i="17"/>
  <c r="J176"/>
  <c r="J226"/>
  <c r="J159"/>
  <c r="F18" i="18"/>
  <c r="F49" s="1"/>
  <c r="G85" i="12"/>
  <c r="I221" i="17"/>
  <c r="I154"/>
  <c r="H44"/>
  <c r="H97" s="1"/>
  <c r="H113" i="12"/>
  <c r="I44" i="17" s="1"/>
  <c r="I97" s="1"/>
  <c r="F22" i="18"/>
  <c r="F53" s="1"/>
  <c r="G89" i="12"/>
  <c r="G18" i="14"/>
  <c r="G42" s="1"/>
  <c r="H72" i="11"/>
  <c r="H18" i="14" s="1"/>
  <c r="H42" s="1"/>
  <c r="H42" i="11"/>
  <c r="H10" i="13" s="1"/>
  <c r="G10"/>
  <c r="H210" i="17"/>
  <c r="H143"/>
  <c r="F150" i="13"/>
  <c r="H209" s="1"/>
  <c r="H263"/>
  <c r="H25" i="17"/>
  <c r="H78" s="1"/>
  <c r="I25"/>
  <c r="I78" s="1"/>
  <c r="I198"/>
  <c r="I131"/>
  <c r="H231"/>
  <c r="H164"/>
  <c r="I225"/>
  <c r="I158"/>
  <c r="I239"/>
  <c r="I175"/>
  <c r="I200"/>
  <c r="I133"/>
  <c r="H159" i="14"/>
  <c r="F73"/>
  <c r="F72"/>
  <c r="H144" s="1"/>
  <c r="I241" i="17"/>
  <c r="I177"/>
  <c r="G30" i="18"/>
  <c r="G58" s="1"/>
  <c r="H97" i="12"/>
  <c r="H30" i="18" s="1"/>
  <c r="H58" s="1"/>
  <c r="E33"/>
  <c r="E60" i="13"/>
  <c r="P40" i="4"/>
  <c r="Q37" s="1"/>
  <c r="H208" i="17"/>
  <c r="H141"/>
  <c r="G242" i="13"/>
  <c r="E129"/>
  <c r="G187" s="1"/>
  <c r="H157" i="14"/>
  <c r="F64"/>
  <c r="F63"/>
  <c r="F67" i="13"/>
  <c r="H238" i="17"/>
  <c r="H171"/>
  <c r="E154" i="13"/>
  <c r="G213" s="1"/>
  <c r="G267"/>
  <c r="P44" i="4"/>
  <c r="F144" i="13"/>
  <c r="H203" s="1"/>
  <c r="H257"/>
  <c r="H234" i="17"/>
  <c r="H167"/>
  <c r="H236"/>
  <c r="H169"/>
  <c r="H233"/>
  <c r="H166"/>
  <c r="E156" i="13"/>
  <c r="G215" s="1"/>
  <c r="G269"/>
  <c r="G15" i="14"/>
  <c r="G39" s="1"/>
  <c r="H69" i="11"/>
  <c r="H15" i="14" s="1"/>
  <c r="H39" s="1"/>
  <c r="H48" i="11"/>
  <c r="H16" i="13" s="1"/>
  <c r="H73" s="1"/>
  <c r="G16"/>
  <c r="G73" s="1"/>
  <c r="I224" i="17"/>
  <c r="I157"/>
  <c r="I222"/>
  <c r="I155"/>
  <c r="G246" i="13"/>
  <c r="E133"/>
  <c r="G191" s="1"/>
  <c r="F166"/>
  <c r="H225" s="1"/>
  <c r="H276"/>
  <c r="F91"/>
  <c r="F164"/>
  <c r="H223" s="1"/>
  <c r="H274"/>
  <c r="J221" i="17"/>
  <c r="J154"/>
  <c r="G247" i="13"/>
  <c r="E134"/>
  <c r="G192" s="1"/>
  <c r="I242" i="17"/>
  <c r="I178"/>
  <c r="F52" i="4"/>
  <c r="F65"/>
  <c r="E13" i="8" s="1"/>
  <c r="E15" s="1"/>
  <c r="G248" i="13"/>
  <c r="E135"/>
  <c r="G193" s="1"/>
  <c r="H234"/>
  <c r="F121"/>
  <c r="H179" s="1"/>
  <c r="H22" i="17"/>
  <c r="H75" s="1"/>
  <c r="I22"/>
  <c r="I75" s="1"/>
  <c r="H53" i="12"/>
  <c r="H41" i="13" s="1"/>
  <c r="H98" s="1"/>
  <c r="G41"/>
  <c r="G98" s="1"/>
  <c r="I202" i="17"/>
  <c r="I135"/>
  <c r="G12" i="18"/>
  <c r="G43" s="1"/>
  <c r="H79" i="12"/>
  <c r="H12" i="18" s="1"/>
  <c r="H43" s="1"/>
  <c r="M51" i="4"/>
  <c r="L67"/>
  <c r="J198" i="17"/>
  <c r="J131"/>
  <c r="H43"/>
  <c r="H96" s="1"/>
  <c r="H112" i="12"/>
  <c r="I43" i="17" s="1"/>
  <c r="I96" s="1"/>
  <c r="J225"/>
  <c r="J158"/>
  <c r="J239"/>
  <c r="J175"/>
  <c r="F20" i="18"/>
  <c r="F51" s="1"/>
  <c r="G87" i="12"/>
  <c r="F27" i="14"/>
  <c r="F51" s="1"/>
  <c r="G81" i="11"/>
  <c r="J200" i="17"/>
  <c r="J133"/>
  <c r="G16" i="14"/>
  <c r="G40" s="1"/>
  <c r="H70" i="11"/>
  <c r="H16" i="14" s="1"/>
  <c r="H40" s="1"/>
  <c r="G19"/>
  <c r="G43" s="1"/>
  <c r="H73" i="11"/>
  <c r="H19" i="14" s="1"/>
  <c r="H43" s="1"/>
  <c r="J241" i="17"/>
  <c r="J177"/>
  <c r="I203"/>
  <c r="I136"/>
  <c r="E159" i="13"/>
  <c r="G218" s="1"/>
  <c r="G272"/>
  <c r="G156" i="14"/>
  <c r="E98"/>
  <c r="G148" s="1"/>
  <c r="E97"/>
  <c r="G147" s="1"/>
  <c r="F39" i="18"/>
  <c r="H235" i="17"/>
  <c r="H168"/>
  <c r="G39" i="6"/>
  <c r="D13" i="7"/>
  <c r="E153" i="13"/>
  <c r="G212" s="1"/>
  <c r="G266"/>
  <c r="E157"/>
  <c r="G216" s="1"/>
  <c r="G270"/>
  <c r="H50" i="12"/>
  <c r="H38" i="13" s="1"/>
  <c r="H95" s="1"/>
  <c r="G38"/>
  <c r="G95" s="1"/>
  <c r="F148"/>
  <c r="H207" s="1"/>
  <c r="H261"/>
  <c r="F149"/>
  <c r="H208" s="1"/>
  <c r="H262"/>
  <c r="G245"/>
  <c r="E132"/>
  <c r="G190" s="1"/>
  <c r="I226" i="17"/>
  <c r="I159"/>
  <c r="H18"/>
  <c r="H71" s="1"/>
  <c r="I18"/>
  <c r="I71" s="1"/>
  <c r="G245"/>
  <c r="G182"/>
  <c r="G143" i="14"/>
  <c r="G232" i="13"/>
  <c r="E119"/>
  <c r="I223" i="17"/>
  <c r="I156"/>
  <c r="G148" i="18"/>
  <c r="G153" s="1"/>
  <c r="G162"/>
  <c r="G163"/>
  <c r="H207" i="17"/>
  <c r="H140"/>
  <c r="E158" i="13"/>
  <c r="G217" s="1"/>
  <c r="G271"/>
  <c r="H209" i="17"/>
  <c r="H142"/>
  <c r="H233" i="13"/>
  <c r="F120"/>
  <c r="H178" s="1"/>
  <c r="G243"/>
  <c r="E130"/>
  <c r="G188" s="1"/>
  <c r="H237"/>
  <c r="F124"/>
  <c r="H182" s="1"/>
  <c r="D36" i="18"/>
  <c r="D6"/>
  <c r="G241" i="13"/>
  <c r="E128"/>
  <c r="G186" s="1"/>
  <c r="F145"/>
  <c r="H204" s="1"/>
  <c r="H258"/>
  <c r="E152"/>
  <c r="G211" s="1"/>
  <c r="G265"/>
  <c r="G184" i="17"/>
  <c r="G247"/>
  <c r="N56" i="4"/>
  <c r="N57" s="1"/>
  <c r="H52" i="17"/>
  <c r="H105" s="1"/>
  <c r="I173" s="1"/>
  <c r="H121" i="12"/>
  <c r="I52" i="17" s="1"/>
  <c r="I105" s="1"/>
  <c r="F177" i="13"/>
  <c r="G11" i="18"/>
  <c r="G42" s="1"/>
  <c r="H78" i="12"/>
  <c r="H11" i="18" s="1"/>
  <c r="H42" s="1"/>
  <c r="J223" i="17"/>
  <c r="J156"/>
  <c r="H50"/>
  <c r="H103" s="1"/>
  <c r="H119" i="12"/>
  <c r="I50" i="17" s="1"/>
  <c r="I103" s="1"/>
  <c r="E159" i="18"/>
  <c r="E160"/>
  <c r="H53" i="17"/>
  <c r="H106" s="1"/>
  <c r="I174" s="1"/>
  <c r="H122" i="12"/>
  <c r="I53" i="17" s="1"/>
  <c r="I106" s="1"/>
  <c r="F45" i="13"/>
  <c r="F102" s="1"/>
  <c r="G57" i="12"/>
  <c r="H19" i="17"/>
  <c r="H72" s="1"/>
  <c r="I19"/>
  <c r="I72" s="1"/>
  <c r="F27" i="18"/>
  <c r="G94" i="12"/>
  <c r="G27" i="18" s="1"/>
  <c r="F49" i="13"/>
  <c r="F106" s="1"/>
  <c r="G61" i="12"/>
  <c r="H47"/>
  <c r="H35" i="13" s="1"/>
  <c r="H92" s="1"/>
  <c r="G35"/>
  <c r="G92" s="1"/>
  <c r="H21" i="17"/>
  <c r="H74" s="1"/>
  <c r="I21"/>
  <c r="I74" s="1"/>
  <c r="H43" i="11"/>
  <c r="H11" i="13" s="1"/>
  <c r="H68" s="1"/>
  <c r="G11"/>
  <c r="G68" s="1"/>
  <c r="F26" i="14"/>
  <c r="F50" s="1"/>
  <c r="G80" i="11"/>
  <c r="F21" i="13"/>
  <c r="F78" s="1"/>
  <c r="G53" i="11"/>
  <c r="G31" i="18"/>
  <c r="G59" s="1"/>
  <c r="H98" i="12"/>
  <c r="H31" i="18" s="1"/>
  <c r="H59" s="1"/>
  <c r="H46" i="17"/>
  <c r="H99" s="1"/>
  <c r="H115" i="12"/>
  <c r="I46" i="17" s="1"/>
  <c r="I99" s="1"/>
  <c r="H47" i="11"/>
  <c r="H15" i="13" s="1"/>
  <c r="H72" s="1"/>
  <c r="G15"/>
  <c r="G72" s="1"/>
  <c r="F28" i="14"/>
  <c r="F52" s="1"/>
  <c r="G82" i="11"/>
  <c r="H48" i="17"/>
  <c r="H101" s="1"/>
  <c r="H117" i="12"/>
  <c r="I48" i="17" s="1"/>
  <c r="I101" s="1"/>
  <c r="F19" i="13"/>
  <c r="F76" s="1"/>
  <c r="G51" i="11"/>
  <c r="H45" i="17"/>
  <c r="H98" s="1"/>
  <c r="H114" i="12"/>
  <c r="I45" i="17" s="1"/>
  <c r="I98" s="1"/>
  <c r="H48" i="12"/>
  <c r="H36" i="13" s="1"/>
  <c r="H93" s="1"/>
  <c r="G36"/>
  <c r="G93" s="1"/>
  <c r="F47"/>
  <c r="F104" s="1"/>
  <c r="G59" i="12"/>
  <c r="F43" i="13"/>
  <c r="F100" s="1"/>
  <c r="G55" i="12"/>
  <c r="H211" i="17"/>
  <c r="H144"/>
  <c r="F147" i="13"/>
  <c r="H206" s="1"/>
  <c r="H260"/>
  <c r="J224" i="17"/>
  <c r="J157"/>
  <c r="F21" i="18"/>
  <c r="F52" s="1"/>
  <c r="G88" i="12"/>
  <c r="J222" i="17"/>
  <c r="J155"/>
  <c r="F23" i="18"/>
  <c r="F54" s="1"/>
  <c r="G90" i="12"/>
  <c r="F24" i="13"/>
  <c r="F81" s="1"/>
  <c r="G56" i="11"/>
  <c r="G57" i="13"/>
  <c r="G114" s="1"/>
  <c r="H69" i="12"/>
  <c r="H57" i="13" s="1"/>
  <c r="H114" s="1"/>
  <c r="H46" i="12"/>
  <c r="H34" i="13" s="1"/>
  <c r="G34"/>
  <c r="G55"/>
  <c r="G112" s="1"/>
  <c r="H67" i="12"/>
  <c r="H55" i="13" s="1"/>
  <c r="H112" s="1"/>
  <c r="H206" i="17"/>
  <c r="H139"/>
  <c r="F25" i="13"/>
  <c r="F82" s="1"/>
  <c r="G57" i="11"/>
  <c r="J242" i="17"/>
  <c r="J178"/>
  <c r="F26" i="13"/>
  <c r="F83" s="1"/>
  <c r="G58" i="11"/>
  <c r="H12" i="13"/>
  <c r="H69" s="1"/>
  <c r="G12"/>
  <c r="G69" s="1"/>
  <c r="H212" i="17"/>
  <c r="H145"/>
  <c r="J202"/>
  <c r="J135"/>
  <c r="F167" i="13"/>
  <c r="H226" s="1"/>
  <c r="H277"/>
  <c r="I228" i="17"/>
  <c r="I161"/>
  <c r="I229"/>
  <c r="I162"/>
  <c r="H230"/>
  <c r="H163"/>
  <c r="I197"/>
  <c r="I130"/>
  <c r="H235" i="13"/>
  <c r="F122"/>
  <c r="H180" s="1"/>
  <c r="E160"/>
  <c r="G219" s="1"/>
  <c r="G273"/>
  <c r="H237" i="17"/>
  <c r="H170"/>
  <c r="F146" i="13"/>
  <c r="H205" s="1"/>
  <c r="H259"/>
  <c r="J203" i="17"/>
  <c r="J136"/>
  <c r="F50" i="13"/>
  <c r="F107" s="1"/>
  <c r="G62" i="12"/>
  <c r="E16" i="6" l="1"/>
  <c r="D289" i="13" s="1"/>
  <c r="B28" i="7" s="1"/>
  <c r="E17" i="6"/>
  <c r="D174" i="14" s="1"/>
  <c r="D176" s="1"/>
  <c r="F281" i="13"/>
  <c r="H67" i="14"/>
  <c r="H69"/>
  <c r="H68"/>
  <c r="J146" s="1"/>
  <c r="G69"/>
  <c r="G68"/>
  <c r="I146" s="1"/>
  <c r="G67"/>
  <c r="I145" s="1"/>
  <c r="E41" i="6"/>
  <c r="E282" i="13"/>
  <c r="F16" i="6" s="1"/>
  <c r="B15" i="7"/>
  <c r="C6" i="9" s="1"/>
  <c r="C22" i="7"/>
  <c r="G187" i="17"/>
  <c r="J160" i="14"/>
  <c r="I160"/>
  <c r="C12" i="7"/>
  <c r="D129" i="10" s="1"/>
  <c r="E276" i="17"/>
  <c r="F284" i="13"/>
  <c r="E32"/>
  <c r="E9" s="1"/>
  <c r="F94" i="14"/>
  <c r="H161"/>
  <c r="G114" i="17"/>
  <c r="H182" s="1"/>
  <c r="D12" i="14"/>
  <c r="P45" i="4"/>
  <c r="F47" i="6"/>
  <c r="D171" i="18"/>
  <c r="B23" i="7" s="1"/>
  <c r="G141" i="14"/>
  <c r="F163"/>
  <c r="C125" i="10"/>
  <c r="C155"/>
  <c r="H6" i="6"/>
  <c r="G259" i="17" s="1"/>
  <c r="F260"/>
  <c r="F262" s="1"/>
  <c r="G246"/>
  <c r="H15" i="6" s="1"/>
  <c r="G260" i="17" s="1"/>
  <c r="C140" i="10"/>
  <c r="D12" i="7"/>
  <c r="E159" i="10" s="1"/>
  <c r="G34" i="6"/>
  <c r="C170" i="10"/>
  <c r="D64" i="13"/>
  <c r="F199" s="1"/>
  <c r="F228" s="1"/>
  <c r="C32" i="10"/>
  <c r="G119" i="17"/>
  <c r="G118"/>
  <c r="H250" s="1"/>
  <c r="G254"/>
  <c r="G116"/>
  <c r="H247" s="1"/>
  <c r="F283" i="13"/>
  <c r="G115" i="17"/>
  <c r="H246" s="1"/>
  <c r="G253"/>
  <c r="G188"/>
  <c r="G191" s="1"/>
  <c r="E12" i="7" s="1"/>
  <c r="G249" i="13"/>
  <c r="E136"/>
  <c r="G194" s="1"/>
  <c r="E137"/>
  <c r="G195" s="1"/>
  <c r="G250"/>
  <c r="E150" i="14"/>
  <c r="E152" s="1"/>
  <c r="E166"/>
  <c r="H50" i="11"/>
  <c r="H18" i="13" s="1"/>
  <c r="H75" s="1"/>
  <c r="G18"/>
  <c r="G75" s="1"/>
  <c r="H148" i="17"/>
  <c r="H215"/>
  <c r="I204"/>
  <c r="I137"/>
  <c r="G60" i="11"/>
  <c r="F28" i="13"/>
  <c r="F85" s="1"/>
  <c r="J137" i="17"/>
  <c r="J204"/>
  <c r="E32" i="14"/>
  <c r="E35" s="1"/>
  <c r="H49" i="11"/>
  <c r="H17" i="13" s="1"/>
  <c r="H74" s="1"/>
  <c r="G17"/>
  <c r="G74" s="1"/>
  <c r="E164" i="14"/>
  <c r="E165"/>
  <c r="F127" i="13"/>
  <c r="H185" s="1"/>
  <c r="H240"/>
  <c r="G29"/>
  <c r="G86" s="1"/>
  <c r="H61" i="11"/>
  <c r="H29" i="13" s="1"/>
  <c r="H86" s="1"/>
  <c r="F30"/>
  <c r="F87" s="1"/>
  <c r="G62" i="11"/>
  <c r="I29" i="17"/>
  <c r="I82" s="1"/>
  <c r="H29"/>
  <c r="H82" s="1"/>
  <c r="H149"/>
  <c r="H216"/>
  <c r="F27" i="13"/>
  <c r="F84" s="1"/>
  <c r="G59" i="11"/>
  <c r="H27" i="17"/>
  <c r="H80" s="1"/>
  <c r="I27"/>
  <c r="I80" s="1"/>
  <c r="H75" i="11"/>
  <c r="H21" i="14" s="1"/>
  <c r="H45" s="1"/>
  <c r="G21"/>
  <c r="G45" s="1"/>
  <c r="H74" i="11"/>
  <c r="H20" i="14" s="1"/>
  <c r="H44" s="1"/>
  <c r="G20"/>
  <c r="G44" s="1"/>
  <c r="H239" i="13"/>
  <c r="F126"/>
  <c r="H184" s="1"/>
  <c r="F30" i="14"/>
  <c r="F54" s="1"/>
  <c r="G84" i="11"/>
  <c r="G85"/>
  <c r="F31" i="14"/>
  <c r="F55" s="1"/>
  <c r="F138" i="13"/>
  <c r="H196" s="1"/>
  <c r="H251"/>
  <c r="E139"/>
  <c r="G197" s="1"/>
  <c r="G252"/>
  <c r="H150" i="17"/>
  <c r="H217"/>
  <c r="H28"/>
  <c r="H81" s="1"/>
  <c r="I28"/>
  <c r="I81" s="1"/>
  <c r="J173"/>
  <c r="O62" i="4"/>
  <c r="O63" s="1"/>
  <c r="I236" i="13"/>
  <c r="G123"/>
  <c r="I181" s="1"/>
  <c r="N58" i="4"/>
  <c r="O55" s="1"/>
  <c r="J236" i="13"/>
  <c r="H123"/>
  <c r="M52" i="4"/>
  <c r="N49" s="1"/>
  <c r="J274" i="13"/>
  <c r="H164"/>
  <c r="G23" i="18"/>
  <c r="G54" s="1"/>
  <c r="H90" i="12"/>
  <c r="H23" i="18" s="1"/>
  <c r="H54" s="1"/>
  <c r="H59" i="12"/>
  <c r="H47" i="13" s="1"/>
  <c r="H104" s="1"/>
  <c r="G47"/>
  <c r="G104" s="1"/>
  <c r="J236" i="17"/>
  <c r="J169"/>
  <c r="H243" i="13"/>
  <c r="F130"/>
  <c r="H188" s="1"/>
  <c r="J257"/>
  <c r="H144"/>
  <c r="F154"/>
  <c r="H213" s="1"/>
  <c r="H267"/>
  <c r="I238" i="17"/>
  <c r="I171"/>
  <c r="E13" i="7"/>
  <c r="H39" i="6"/>
  <c r="I260" i="13"/>
  <c r="G147"/>
  <c r="I206" s="1"/>
  <c r="G20" i="18"/>
  <c r="G51" s="1"/>
  <c r="H87" i="12"/>
  <c r="H20" i="18" s="1"/>
  <c r="H51" s="1"/>
  <c r="F143" i="13"/>
  <c r="H202" s="1"/>
  <c r="H256"/>
  <c r="E36" i="18"/>
  <c r="E6"/>
  <c r="J261" i="13"/>
  <c r="H148"/>
  <c r="H242"/>
  <c r="F129"/>
  <c r="H187" s="1"/>
  <c r="I157" i="18"/>
  <c r="G120"/>
  <c r="G137" s="1"/>
  <c r="I150" s="1"/>
  <c r="I161"/>
  <c r="G119"/>
  <c r="G136" s="1"/>
  <c r="I149" s="1"/>
  <c r="G118"/>
  <c r="G135" s="1"/>
  <c r="I158"/>
  <c r="G37" i="14"/>
  <c r="H39" i="18"/>
  <c r="G16"/>
  <c r="G47" s="1"/>
  <c r="H83" i="12"/>
  <c r="H16" i="18" s="1"/>
  <c r="H47" s="1"/>
  <c r="G25" i="14"/>
  <c r="G49" s="1"/>
  <c r="H79" i="11"/>
  <c r="H25" i="14" s="1"/>
  <c r="H49" s="1"/>
  <c r="J259" i="13"/>
  <c r="H146"/>
  <c r="G17" i="18"/>
  <c r="G48" s="1"/>
  <c r="H84" i="12"/>
  <c r="H17" i="18" s="1"/>
  <c r="H48" s="1"/>
  <c r="H62" i="12"/>
  <c r="H50" i="13" s="1"/>
  <c r="H107" s="1"/>
  <c r="G50"/>
  <c r="G107" s="1"/>
  <c r="J234"/>
  <c r="H121"/>
  <c r="H248"/>
  <c r="F135"/>
  <c r="H193" s="1"/>
  <c r="H247"/>
  <c r="F134"/>
  <c r="H192" s="1"/>
  <c r="H91"/>
  <c r="H246"/>
  <c r="F133"/>
  <c r="H191" s="1"/>
  <c r="J258"/>
  <c r="H145"/>
  <c r="H241"/>
  <c r="F128"/>
  <c r="H186" s="1"/>
  <c r="G28" i="14"/>
  <c r="G52" s="1"/>
  <c r="H82" i="11"/>
  <c r="H28" i="14" s="1"/>
  <c r="H52" s="1"/>
  <c r="J234" i="17"/>
  <c r="J167"/>
  <c r="H53" i="11"/>
  <c r="H21" i="13" s="1"/>
  <c r="H78" s="1"/>
  <c r="G21"/>
  <c r="G78" s="1"/>
  <c r="I233"/>
  <c r="G120"/>
  <c r="I178" s="1"/>
  <c r="I257"/>
  <c r="G144"/>
  <c r="I203" s="1"/>
  <c r="H57" i="12"/>
  <c r="H45" i="13" s="1"/>
  <c r="H102" s="1"/>
  <c r="G45"/>
  <c r="G102" s="1"/>
  <c r="J238" i="17"/>
  <c r="J171"/>
  <c r="G177" i="13"/>
  <c r="I139" i="17"/>
  <c r="I206"/>
  <c r="G72" i="14"/>
  <c r="I144" s="1"/>
  <c r="G73"/>
  <c r="I159"/>
  <c r="I231" i="17"/>
  <c r="I164"/>
  <c r="J263" i="13"/>
  <c r="H150"/>
  <c r="F68" i="4"/>
  <c r="G49"/>
  <c r="J238" i="13"/>
  <c r="H125"/>
  <c r="H142" i="14"/>
  <c r="Q38" i="4"/>
  <c r="Q39" s="1"/>
  <c r="I146" i="17"/>
  <c r="I213"/>
  <c r="G67" i="13"/>
  <c r="G22" i="18"/>
  <c r="G53" s="1"/>
  <c r="H89" i="12"/>
  <c r="H22" i="18" s="1"/>
  <c r="H53" s="1"/>
  <c r="G18"/>
  <c r="G49" s="1"/>
  <c r="H85" i="12"/>
  <c r="H18" i="18" s="1"/>
  <c r="H49" s="1"/>
  <c r="H64" i="14"/>
  <c r="H63"/>
  <c r="J157"/>
  <c r="J275" i="13"/>
  <c r="H165"/>
  <c r="I261"/>
  <c r="G148"/>
  <c r="I207" s="1"/>
  <c r="H60" i="12"/>
  <c r="H48" i="13" s="1"/>
  <c r="H105" s="1"/>
  <c r="G48"/>
  <c r="G105" s="1"/>
  <c r="H52" i="11"/>
  <c r="H20" i="13" s="1"/>
  <c r="H77" s="1"/>
  <c r="G20"/>
  <c r="G77" s="1"/>
  <c r="J158" i="18"/>
  <c r="J157"/>
  <c r="H120"/>
  <c r="H137" s="1"/>
  <c r="J161"/>
  <c r="H119"/>
  <c r="H136" s="1"/>
  <c r="H118"/>
  <c r="H135" s="1"/>
  <c r="H37" i="14"/>
  <c r="H56" i="12"/>
  <c r="H44" i="13" s="1"/>
  <c r="H101" s="1"/>
  <c r="G44"/>
  <c r="G101" s="1"/>
  <c r="I235" i="17"/>
  <c r="I168"/>
  <c r="H156" i="14"/>
  <c r="F98"/>
  <c r="H148" s="1"/>
  <c r="F97"/>
  <c r="H147" s="1"/>
  <c r="I259" i="13"/>
  <c r="G146"/>
  <c r="I205" s="1"/>
  <c r="H63" i="12"/>
  <c r="H51" i="13" s="1"/>
  <c r="H108" s="1"/>
  <c r="G51"/>
  <c r="G108" s="1"/>
  <c r="I230" i="17"/>
  <c r="I163"/>
  <c r="G22" i="14"/>
  <c r="G46" s="1"/>
  <c r="H76" i="11"/>
  <c r="H22" i="14" s="1"/>
  <c r="H46" s="1"/>
  <c r="J211" i="17"/>
  <c r="J144"/>
  <c r="J174"/>
  <c r="G168" i="14"/>
  <c r="F33" i="18"/>
  <c r="J172" i="17"/>
  <c r="F159" i="13"/>
  <c r="H218" s="1"/>
  <c r="H272"/>
  <c r="J276"/>
  <c r="H166"/>
  <c r="G21" i="18"/>
  <c r="G52" s="1"/>
  <c r="H88" i="12"/>
  <c r="H21" i="18" s="1"/>
  <c r="H52" s="1"/>
  <c r="H55" i="12"/>
  <c r="H43" i="13" s="1"/>
  <c r="H100" s="1"/>
  <c r="G43"/>
  <c r="G100" s="1"/>
  <c r="J233" i="17"/>
  <c r="J166"/>
  <c r="F166" i="14"/>
  <c r="F150"/>
  <c r="F152" s="1"/>
  <c r="I234" i="17"/>
  <c r="I167"/>
  <c r="J233" i="13"/>
  <c r="H120"/>
  <c r="F159" i="18"/>
  <c r="F160"/>
  <c r="J210" i="17"/>
  <c r="J143"/>
  <c r="C8" i="7"/>
  <c r="F36" i="6"/>
  <c r="H67" i="13"/>
  <c r="G63" i="14"/>
  <c r="I157"/>
  <c r="G64"/>
  <c r="I275" i="13"/>
  <c r="G165"/>
  <c r="I224" s="1"/>
  <c r="F157"/>
  <c r="H216" s="1"/>
  <c r="H270"/>
  <c r="F153"/>
  <c r="H212" s="1"/>
  <c r="H266"/>
  <c r="H54" i="11"/>
  <c r="H22" i="13" s="1"/>
  <c r="H79" s="1"/>
  <c r="G22"/>
  <c r="G79" s="1"/>
  <c r="F160"/>
  <c r="H219" s="1"/>
  <c r="H273"/>
  <c r="I144" i="17"/>
  <c r="I211"/>
  <c r="I234" i="13"/>
  <c r="G121"/>
  <c r="I179" s="1"/>
  <c r="H58" i="11"/>
  <c r="H26" i="13" s="1"/>
  <c r="H83" s="1"/>
  <c r="G26"/>
  <c r="G83" s="1"/>
  <c r="H57" i="11"/>
  <c r="H25" i="13" s="1"/>
  <c r="H82" s="1"/>
  <c r="G25"/>
  <c r="G82" s="1"/>
  <c r="G91"/>
  <c r="H56" i="11"/>
  <c r="H24" i="13" s="1"/>
  <c r="H81" s="1"/>
  <c r="G24"/>
  <c r="G81" s="1"/>
  <c r="I258"/>
  <c r="G145"/>
  <c r="I204" s="1"/>
  <c r="H51" i="11"/>
  <c r="H19" i="13" s="1"/>
  <c r="H76" s="1"/>
  <c r="G19"/>
  <c r="G76" s="1"/>
  <c r="J237"/>
  <c r="H124"/>
  <c r="I142" i="17"/>
  <c r="I209"/>
  <c r="F158" i="13"/>
  <c r="H217" s="1"/>
  <c r="H271"/>
  <c r="I140" i="17"/>
  <c r="I207"/>
  <c r="O56" i="4"/>
  <c r="O58" s="1"/>
  <c r="P55" s="1"/>
  <c r="J206" i="17"/>
  <c r="J139"/>
  <c r="E160" i="10"/>
  <c r="E145"/>
  <c r="E175"/>
  <c r="E130"/>
  <c r="E37"/>
  <c r="J159" i="14"/>
  <c r="H73"/>
  <c r="H72"/>
  <c r="G27"/>
  <c r="G51" s="1"/>
  <c r="H81" i="11"/>
  <c r="H27" i="14" s="1"/>
  <c r="H51" s="1"/>
  <c r="J231" i="17"/>
  <c r="J164"/>
  <c r="I263" i="13"/>
  <c r="G150"/>
  <c r="I209" s="1"/>
  <c r="I238"/>
  <c r="G125"/>
  <c r="I183" s="1"/>
  <c r="J213" i="17"/>
  <c r="J146"/>
  <c r="I158" i="14"/>
  <c r="G80"/>
  <c r="G81"/>
  <c r="I232" i="17"/>
  <c r="I165"/>
  <c r="H67" i="4"/>
  <c r="I51"/>
  <c r="I67" s="1"/>
  <c r="H245" i="13"/>
  <c r="F132"/>
  <c r="H190" s="1"/>
  <c r="J262"/>
  <c r="H149"/>
  <c r="F155"/>
  <c r="H214" s="1"/>
  <c r="H268"/>
  <c r="J264"/>
  <c r="H151"/>
  <c r="I141" i="17"/>
  <c r="I208"/>
  <c r="G24" i="18"/>
  <c r="G55" s="1"/>
  <c r="H91" i="12"/>
  <c r="H24" i="18" s="1"/>
  <c r="H55" s="1"/>
  <c r="J235" i="17"/>
  <c r="J168"/>
  <c r="G29" i="14"/>
  <c r="G53" s="1"/>
  <c r="H83" i="11"/>
  <c r="H29" i="14" s="1"/>
  <c r="H53" s="1"/>
  <c r="G23"/>
  <c r="G47" s="1"/>
  <c r="I162" s="1"/>
  <c r="H77" i="11"/>
  <c r="H23" i="14" s="1"/>
  <c r="H47" s="1"/>
  <c r="J162" s="1"/>
  <c r="I237" i="17"/>
  <c r="I170"/>
  <c r="J235" i="13"/>
  <c r="H122"/>
  <c r="J230" i="17"/>
  <c r="J163"/>
  <c r="I277" i="13"/>
  <c r="G167"/>
  <c r="I226" s="1"/>
  <c r="I145" i="17"/>
  <c r="I212"/>
  <c r="H143" i="14"/>
  <c r="H148" i="18"/>
  <c r="H153" s="1"/>
  <c r="H163"/>
  <c r="H162"/>
  <c r="F18" i="6"/>
  <c r="G9" s="1"/>
  <c r="G167" i="14"/>
  <c r="P46" i="4"/>
  <c r="Q43" s="1"/>
  <c r="I274" i="13"/>
  <c r="G164"/>
  <c r="I223" s="1"/>
  <c r="I276"/>
  <c r="G166"/>
  <c r="I225" s="1"/>
  <c r="F152"/>
  <c r="H211" s="1"/>
  <c r="H265"/>
  <c r="F156"/>
  <c r="H215" s="1"/>
  <c r="H269"/>
  <c r="I233" i="17"/>
  <c r="I166"/>
  <c r="I236"/>
  <c r="I169"/>
  <c r="I237" i="13"/>
  <c r="G124"/>
  <c r="I182" s="1"/>
  <c r="G26" i="14"/>
  <c r="G50" s="1"/>
  <c r="H80" i="11"/>
  <c r="H26" i="14" s="1"/>
  <c r="H50" s="1"/>
  <c r="J209" i="17"/>
  <c r="J142"/>
  <c r="H61" i="12"/>
  <c r="H49" i="13" s="1"/>
  <c r="H106" s="1"/>
  <c r="G49"/>
  <c r="G106" s="1"/>
  <c r="J207" i="17"/>
  <c r="J140"/>
  <c r="J260" i="13"/>
  <c r="H147"/>
  <c r="M67" i="4"/>
  <c r="I143" i="17"/>
  <c r="I210"/>
  <c r="H232" i="13"/>
  <c r="F119"/>
  <c r="H81" i="14"/>
  <c r="J158"/>
  <c r="H80"/>
  <c r="J232" i="17"/>
  <c r="J165"/>
  <c r="H55" i="11"/>
  <c r="H23" i="13" s="1"/>
  <c r="H80" s="1"/>
  <c r="G23"/>
  <c r="G80" s="1"/>
  <c r="I262"/>
  <c r="G149"/>
  <c r="I208" s="1"/>
  <c r="H58" i="12"/>
  <c r="H46" i="13" s="1"/>
  <c r="H103" s="1"/>
  <c r="G46"/>
  <c r="G103" s="1"/>
  <c r="I264"/>
  <c r="G151"/>
  <c r="I210" s="1"/>
  <c r="G24" i="14"/>
  <c r="G48" s="1"/>
  <c r="H78" i="11"/>
  <c r="H24" i="14" s="1"/>
  <c r="H48" s="1"/>
  <c r="G19" i="18"/>
  <c r="G50" s="1"/>
  <c r="H86" i="12"/>
  <c r="H19" i="18" s="1"/>
  <c r="H50" s="1"/>
  <c r="J208" i="17"/>
  <c r="J141"/>
  <c r="H244" i="13"/>
  <c r="F131"/>
  <c r="H189" s="1"/>
  <c r="G39" i="18"/>
  <c r="J237" i="17"/>
  <c r="J170"/>
  <c r="I235" i="13"/>
  <c r="G122"/>
  <c r="I180" s="1"/>
  <c r="C126" i="10"/>
  <c r="C33"/>
  <c r="C171"/>
  <c r="C141"/>
  <c r="C156"/>
  <c r="J277" i="13"/>
  <c r="H167"/>
  <c r="J212" i="17"/>
  <c r="J145"/>
  <c r="F60" i="13"/>
  <c r="F7" i="6" l="1"/>
  <c r="E288" i="13" s="1"/>
  <c r="D291"/>
  <c r="D301" s="1"/>
  <c r="D304" s="1"/>
  <c r="B19" i="7"/>
  <c r="B29"/>
  <c r="B36" s="1"/>
  <c r="C23" i="9" s="1"/>
  <c r="E21" i="6"/>
  <c r="F8"/>
  <c r="E173" i="14" s="1"/>
  <c r="F17" i="6"/>
  <c r="G8" s="1"/>
  <c r="F165" i="14"/>
  <c r="F282" i="13"/>
  <c r="G16" i="6" s="1"/>
  <c r="E64" i="13"/>
  <c r="G199" s="1"/>
  <c r="G228" s="1"/>
  <c r="G282"/>
  <c r="C39" i="10"/>
  <c r="D159"/>
  <c r="D144"/>
  <c r="D180" i="18"/>
  <c r="D182" s="1"/>
  <c r="F164" i="14"/>
  <c r="D36" i="10"/>
  <c r="D174"/>
  <c r="J145" i="14"/>
  <c r="J178" i="13"/>
  <c r="H94" i="14"/>
  <c r="J161"/>
  <c r="J181" i="13"/>
  <c r="H114" i="17"/>
  <c r="I245" s="1"/>
  <c r="H245"/>
  <c r="G94" i="14"/>
  <c r="I161"/>
  <c r="I118" i="17"/>
  <c r="J250" s="1"/>
  <c r="E52" i="6"/>
  <c r="C132" i="10"/>
  <c r="E129"/>
  <c r="E174"/>
  <c r="H141" i="14"/>
  <c r="C162" i="10"/>
  <c r="E50" i="6"/>
  <c r="F274" i="17"/>
  <c r="F276" s="1"/>
  <c r="G47" i="6"/>
  <c r="C147" i="10"/>
  <c r="H254" i="17"/>
  <c r="H187"/>
  <c r="D8" i="7"/>
  <c r="E125" i="10" s="1"/>
  <c r="G36" i="6"/>
  <c r="C177" i="10"/>
  <c r="D22" i="7"/>
  <c r="E144" i="10"/>
  <c r="H188" i="17"/>
  <c r="H184"/>
  <c r="E36" i="10"/>
  <c r="H251" i="17"/>
  <c r="F32" i="14"/>
  <c r="F12" s="1"/>
  <c r="H119" i="17"/>
  <c r="I251" s="1"/>
  <c r="H115"/>
  <c r="I246" s="1"/>
  <c r="G163" i="14"/>
  <c r="H183" i="17"/>
  <c r="H253"/>
  <c r="H167" i="14"/>
  <c r="H116" i="17"/>
  <c r="I184" s="1"/>
  <c r="I114"/>
  <c r="J245" s="1"/>
  <c r="E12" i="14"/>
  <c r="G165" s="1"/>
  <c r="H168"/>
  <c r="G284" i="13"/>
  <c r="G283"/>
  <c r="G30" i="14"/>
  <c r="G54" s="1"/>
  <c r="H84" i="11"/>
  <c r="H30" i="14" s="1"/>
  <c r="H54" s="1"/>
  <c r="F136" i="13"/>
  <c r="H194" s="1"/>
  <c r="H249"/>
  <c r="I251"/>
  <c r="G138"/>
  <c r="I196" s="1"/>
  <c r="H60" i="11"/>
  <c r="H28" i="13" s="1"/>
  <c r="H85" s="1"/>
  <c r="G28"/>
  <c r="G85" s="1"/>
  <c r="F32"/>
  <c r="F9" s="1"/>
  <c r="J148" i="17"/>
  <c r="J215"/>
  <c r="H62" i="11"/>
  <c r="H30" i="13" s="1"/>
  <c r="H87" s="1"/>
  <c r="G30"/>
  <c r="G87" s="1"/>
  <c r="I239"/>
  <c r="G126"/>
  <c r="I184" s="1"/>
  <c r="I240"/>
  <c r="G127"/>
  <c r="I185" s="1"/>
  <c r="J150" i="17"/>
  <c r="J217"/>
  <c r="F37" i="6"/>
  <c r="F41" s="1"/>
  <c r="C9" i="7"/>
  <c r="C15" s="1"/>
  <c r="I116" i="17"/>
  <c r="J247" s="1"/>
  <c r="J216"/>
  <c r="J149"/>
  <c r="I148"/>
  <c r="I215"/>
  <c r="H118"/>
  <c r="F139" i="13"/>
  <c r="H197" s="1"/>
  <c r="H252"/>
  <c r="J239"/>
  <c r="H126"/>
  <c r="H127"/>
  <c r="J240"/>
  <c r="I119" i="17"/>
  <c r="J251" s="1"/>
  <c r="I115"/>
  <c r="J144" i="14"/>
  <c r="I6" i="6"/>
  <c r="H259" i="17" s="1"/>
  <c r="I149"/>
  <c r="I216"/>
  <c r="G31" i="14"/>
  <c r="G55" s="1"/>
  <c r="H85" i="11"/>
  <c r="H31" i="14" s="1"/>
  <c r="H55" s="1"/>
  <c r="G27" i="13"/>
  <c r="G84" s="1"/>
  <c r="H59" i="11"/>
  <c r="H27" i="13" s="1"/>
  <c r="H84" s="1"/>
  <c r="I150" i="17"/>
  <c r="I217"/>
  <c r="J251" i="13"/>
  <c r="H138"/>
  <c r="F137"/>
  <c r="H195" s="1"/>
  <c r="H250"/>
  <c r="H34" i="6"/>
  <c r="M68" i="4"/>
  <c r="J149" i="18"/>
  <c r="O64" i="4"/>
  <c r="P61" s="1"/>
  <c r="G33" i="18"/>
  <c r="G36" s="1"/>
  <c r="J150"/>
  <c r="J226" i="13"/>
  <c r="J182"/>
  <c r="J225"/>
  <c r="G262" i="17"/>
  <c r="G274" s="1"/>
  <c r="G276" s="1"/>
  <c r="G18" i="6"/>
  <c r="H9" s="1"/>
  <c r="P56" i="4"/>
  <c r="P58" s="1"/>
  <c r="Q55" s="1"/>
  <c r="D9" i="7"/>
  <c r="G37" i="6"/>
  <c r="G135" i="13"/>
  <c r="I193" s="1"/>
  <c r="I248"/>
  <c r="I265"/>
  <c r="G152"/>
  <c r="I211" s="1"/>
  <c r="J270"/>
  <c r="H157"/>
  <c r="I232"/>
  <c r="G119"/>
  <c r="I272"/>
  <c r="G159"/>
  <c r="I218" s="1"/>
  <c r="J241"/>
  <c r="H128"/>
  <c r="J246"/>
  <c r="H133"/>
  <c r="H134"/>
  <c r="J247"/>
  <c r="I142" i="14"/>
  <c r="D140" i="10"/>
  <c r="D125"/>
  <c r="D170"/>
  <c r="D155"/>
  <c r="D32"/>
  <c r="J273" i="13"/>
  <c r="H160"/>
  <c r="I266"/>
  <c r="G153"/>
  <c r="I212" s="1"/>
  <c r="J148" i="18"/>
  <c r="J162"/>
  <c r="J163"/>
  <c r="I270" i="13"/>
  <c r="G157"/>
  <c r="I216" s="1"/>
  <c r="J243"/>
  <c r="H130"/>
  <c r="I148" i="18"/>
  <c r="I153" s="1"/>
  <c r="I163"/>
  <c r="I162"/>
  <c r="F175" i="10"/>
  <c r="F160"/>
  <c r="F37"/>
  <c r="F130"/>
  <c r="F145"/>
  <c r="F174"/>
  <c r="F159"/>
  <c r="F129"/>
  <c r="F36"/>
  <c r="F144"/>
  <c r="J204" i="13"/>
  <c r="J224"/>
  <c r="J183"/>
  <c r="J209"/>
  <c r="J203"/>
  <c r="I256"/>
  <c r="G143"/>
  <c r="I202" s="1"/>
  <c r="F36" i="18"/>
  <c r="F6"/>
  <c r="J266" i="13"/>
  <c r="H153"/>
  <c r="I267"/>
  <c r="G154"/>
  <c r="I213" s="1"/>
  <c r="J245"/>
  <c r="H132"/>
  <c r="F13" i="7"/>
  <c r="I39" i="6"/>
  <c r="I268" i="13"/>
  <c r="G155"/>
  <c r="I214" s="1"/>
  <c r="I245"/>
  <c r="G132"/>
  <c r="I190" s="1"/>
  <c r="J143" i="14"/>
  <c r="G166"/>
  <c r="G150"/>
  <c r="G152" s="1"/>
  <c r="H177" i="13"/>
  <c r="J271"/>
  <c r="H158"/>
  <c r="Q44" i="4"/>
  <c r="Q45" s="1"/>
  <c r="I156" i="14"/>
  <c r="G98"/>
  <c r="I148" s="1"/>
  <c r="G97"/>
  <c r="I147" s="1"/>
  <c r="I241" i="13"/>
  <c r="G128"/>
  <c r="I186" s="1"/>
  <c r="I246"/>
  <c r="G133"/>
  <c r="I191" s="1"/>
  <c r="G134"/>
  <c r="I192" s="1"/>
  <c r="I247"/>
  <c r="J244"/>
  <c r="H131"/>
  <c r="I273"/>
  <c r="G160"/>
  <c r="I219" s="1"/>
  <c r="J242"/>
  <c r="H129"/>
  <c r="J142" i="14"/>
  <c r="I243" i="13"/>
  <c r="G130"/>
  <c r="I188" s="1"/>
  <c r="J269"/>
  <c r="H156"/>
  <c r="O57" i="4"/>
  <c r="P57" s="1"/>
  <c r="J179" i="13"/>
  <c r="H33" i="18"/>
  <c r="J207" i="13"/>
  <c r="E289"/>
  <c r="G7" i="6"/>
  <c r="J232" i="13"/>
  <c r="H119"/>
  <c r="G159" i="18"/>
  <c r="G160"/>
  <c r="J268" i="13"/>
  <c r="H155"/>
  <c r="J214" s="1"/>
  <c r="I271"/>
  <c r="G158"/>
  <c r="I217" s="1"/>
  <c r="H97" i="14"/>
  <c r="J156"/>
  <c r="H98"/>
  <c r="J148" s="1"/>
  <c r="I143"/>
  <c r="J248" i="13"/>
  <c r="H135"/>
  <c r="I244"/>
  <c r="G131"/>
  <c r="I189" s="1"/>
  <c r="J265"/>
  <c r="H152"/>
  <c r="I242"/>
  <c r="G129"/>
  <c r="I187" s="1"/>
  <c r="G52" i="4"/>
  <c r="G65"/>
  <c r="F13" i="8" s="1"/>
  <c r="F15" s="1"/>
  <c r="J267" i="13"/>
  <c r="H154"/>
  <c r="J256"/>
  <c r="H143"/>
  <c r="J202" s="1"/>
  <c r="J272"/>
  <c r="H159"/>
  <c r="N65" i="4"/>
  <c r="N50"/>
  <c r="I269" i="13"/>
  <c r="G156"/>
  <c r="I215" s="1"/>
  <c r="H60"/>
  <c r="J205"/>
  <c r="J206"/>
  <c r="J180"/>
  <c r="J210"/>
  <c r="J208"/>
  <c r="G60"/>
  <c r="Q40" i="4"/>
  <c r="J223" i="13"/>
  <c r="E49" i="6" l="1"/>
  <c r="B18" i="7"/>
  <c r="B25" s="1"/>
  <c r="C41" i="10" s="1"/>
  <c r="C43" s="1"/>
  <c r="C28" i="7"/>
  <c r="E291" i="13"/>
  <c r="E42" i="6"/>
  <c r="E44" s="1"/>
  <c r="F12"/>
  <c r="C45" i="10"/>
  <c r="C164"/>
  <c r="C179"/>
  <c r="C149"/>
  <c r="C134"/>
  <c r="G17" i="6"/>
  <c r="G21" s="1"/>
  <c r="G42" s="1"/>
  <c r="G281" i="13"/>
  <c r="D15" i="7"/>
  <c r="E6" i="9" s="1"/>
  <c r="I182" i="17"/>
  <c r="J187"/>
  <c r="I15" i="6"/>
  <c r="H260" i="17" s="1"/>
  <c r="H262" s="1"/>
  <c r="J147" i="14"/>
  <c r="J185" i="13"/>
  <c r="E170" i="10"/>
  <c r="F21" i="6"/>
  <c r="F42" s="1"/>
  <c r="F44" s="1"/>
  <c r="F289" i="13"/>
  <c r="E54" i="6"/>
  <c r="I141" i="14"/>
  <c r="F35"/>
  <c r="H166" s="1"/>
  <c r="H163"/>
  <c r="D185"/>
  <c r="D187" s="1"/>
  <c r="E140" i="10"/>
  <c r="E32"/>
  <c r="E155"/>
  <c r="F64" i="13"/>
  <c r="H199" s="1"/>
  <c r="H228" s="1"/>
  <c r="G41" i="6"/>
  <c r="J183" i="17"/>
  <c r="G164" i="14"/>
  <c r="H7" i="6"/>
  <c r="G288" i="13" s="1"/>
  <c r="J182" i="17"/>
  <c r="I183"/>
  <c r="J254"/>
  <c r="H191"/>
  <c r="I34" i="6" s="1"/>
  <c r="J246" i="17"/>
  <c r="K15" i="6" s="1"/>
  <c r="J260" i="17" s="1"/>
  <c r="E174" i="14"/>
  <c r="E176" s="1"/>
  <c r="E171" i="18"/>
  <c r="H47" i="6"/>
  <c r="I188" i="17"/>
  <c r="E22" i="7"/>
  <c r="J253" i="17"/>
  <c r="I253"/>
  <c r="H32" i="14"/>
  <c r="H12" s="1"/>
  <c r="I247" i="17"/>
  <c r="I168" i="14"/>
  <c r="J141"/>
  <c r="G32"/>
  <c r="G12" s="1"/>
  <c r="H284" i="13"/>
  <c r="J188" i="17"/>
  <c r="J196" i="13"/>
  <c r="J184" i="17"/>
  <c r="H283" i="13"/>
  <c r="I249"/>
  <c r="G136"/>
  <c r="I194" s="1"/>
  <c r="H137"/>
  <c r="J250"/>
  <c r="F173" i="14"/>
  <c r="G32" i="13"/>
  <c r="G9" s="1"/>
  <c r="D126" i="10"/>
  <c r="D132" s="1"/>
  <c r="D156"/>
  <c r="D162" s="1"/>
  <c r="D171"/>
  <c r="D177" s="1"/>
  <c r="D141"/>
  <c r="D147" s="1"/>
  <c r="D33"/>
  <c r="D39" s="1"/>
  <c r="G139" i="13"/>
  <c r="I197" s="1"/>
  <c r="I252"/>
  <c r="H136"/>
  <c r="J249"/>
  <c r="G137"/>
  <c r="I195" s="1"/>
  <c r="I250"/>
  <c r="H32"/>
  <c r="H9" s="1"/>
  <c r="I167" i="14"/>
  <c r="J184" i="13"/>
  <c r="I254" i="17"/>
  <c r="I250"/>
  <c r="I187"/>
  <c r="J252" i="13"/>
  <c r="H139"/>
  <c r="G6" i="18"/>
  <c r="I159" s="1"/>
  <c r="P62" i="4"/>
  <c r="P63" s="1"/>
  <c r="J168" i="14"/>
  <c r="J153" i="18"/>
  <c r="H13" i="7" s="1"/>
  <c r="H18" i="6"/>
  <c r="I9" s="1"/>
  <c r="J193" i="13"/>
  <c r="J215"/>
  <c r="J190"/>
  <c r="K39" i="6"/>
  <c r="J187" i="13"/>
  <c r="H164" i="14"/>
  <c r="H165"/>
  <c r="E8" i="7"/>
  <c r="H36" i="6"/>
  <c r="H159" i="18"/>
  <c r="H160"/>
  <c r="J39" i="6"/>
  <c r="G13" i="7"/>
  <c r="I177" i="13"/>
  <c r="H49" i="4"/>
  <c r="G68"/>
  <c r="F288" i="13"/>
  <c r="G12" i="6"/>
  <c r="H36" i="18"/>
  <c r="H6"/>
  <c r="E9" i="7"/>
  <c r="H37" i="6"/>
  <c r="G130" i="10"/>
  <c r="G37"/>
  <c r="G175"/>
  <c r="G145"/>
  <c r="G160"/>
  <c r="Q56" i="4"/>
  <c r="Q57" s="1"/>
  <c r="J218" i="13"/>
  <c r="J189"/>
  <c r="Q46" i="4"/>
  <c r="J167" i="14"/>
  <c r="J212" i="13"/>
  <c r="J219"/>
  <c r="J191"/>
  <c r="J216"/>
  <c r="N66" i="4"/>
  <c r="E97" s="1"/>
  <c r="N51"/>
  <c r="H281" i="13"/>
  <c r="H282"/>
  <c r="D6" i="9"/>
  <c r="E156" i="10"/>
  <c r="E141"/>
  <c r="E171"/>
  <c r="E126"/>
  <c r="E132" s="1"/>
  <c r="E33"/>
  <c r="J177" i="13"/>
  <c r="J186"/>
  <c r="J213"/>
  <c r="N52" i="4"/>
  <c r="J211" i="13"/>
  <c r="J217"/>
  <c r="J188"/>
  <c r="J192"/>
  <c r="C47" i="10" l="1"/>
  <c r="F291" i="13"/>
  <c r="D18" i="7" s="1"/>
  <c r="H8" i="6"/>
  <c r="G173" i="14" s="1"/>
  <c r="F174"/>
  <c r="F176" s="1"/>
  <c r="E55" i="6"/>
  <c r="E56" s="1"/>
  <c r="D29" i="7"/>
  <c r="H17" i="6"/>
  <c r="G174" i="14" s="1"/>
  <c r="G176" s="1"/>
  <c r="C29" i="7"/>
  <c r="C36" s="1"/>
  <c r="H16" i="6"/>
  <c r="I7" s="1"/>
  <c r="D28" i="7"/>
  <c r="I17" i="6"/>
  <c r="I16"/>
  <c r="H289" i="13" s="1"/>
  <c r="B38" i="7"/>
  <c r="B40" s="1"/>
  <c r="B45" s="1"/>
  <c r="C150" i="10"/>
  <c r="C151" s="1"/>
  <c r="C152" s="1"/>
  <c r="J6" i="6"/>
  <c r="I259" i="17" s="1"/>
  <c r="H150" i="14"/>
  <c r="H152" s="1"/>
  <c r="F9" i="7" s="1"/>
  <c r="I283" i="13"/>
  <c r="E177" i="10"/>
  <c r="E39"/>
  <c r="E147"/>
  <c r="E162"/>
  <c r="I160" i="18"/>
  <c r="J18" i="6" s="1"/>
  <c r="K9" s="1"/>
  <c r="H35" i="14"/>
  <c r="J166" s="1"/>
  <c r="C19" i="7"/>
  <c r="C180" i="10"/>
  <c r="C181" s="1"/>
  <c r="C182" s="1"/>
  <c r="C22" i="9"/>
  <c r="C135" i="10"/>
  <c r="C136" s="1"/>
  <c r="C137" s="1"/>
  <c r="C165"/>
  <c r="C166" s="1"/>
  <c r="C167" s="1"/>
  <c r="I191" i="17"/>
  <c r="G12" i="7" s="1"/>
  <c r="H64" i="13"/>
  <c r="J199" s="1"/>
  <c r="J163" i="14"/>
  <c r="G44" i="6"/>
  <c r="F12" i="7"/>
  <c r="G144" i="10" s="1"/>
  <c r="F50" i="6"/>
  <c r="J15"/>
  <c r="I260" i="17" s="1"/>
  <c r="E180" i="18"/>
  <c r="E182" s="1"/>
  <c r="F52" i="6"/>
  <c r="C23" i="7"/>
  <c r="G35" i="14"/>
  <c r="I150" s="1"/>
  <c r="I152" s="1"/>
  <c r="G64" i="13"/>
  <c r="I199" s="1"/>
  <c r="I228" s="1"/>
  <c r="G8" i="7" s="1"/>
  <c r="I163" i="14"/>
  <c r="J191" i="17"/>
  <c r="H12" i="7" s="1"/>
  <c r="J197" i="13"/>
  <c r="F171" i="18"/>
  <c r="G52" i="6" s="1"/>
  <c r="J284" i="13"/>
  <c r="J283"/>
  <c r="I284"/>
  <c r="J194"/>
  <c r="J195"/>
  <c r="P64" i="4"/>
  <c r="Q61" s="1"/>
  <c r="H12" i="6"/>
  <c r="G171" i="18"/>
  <c r="J164" i="14"/>
  <c r="J165"/>
  <c r="N67" i="4"/>
  <c r="J159" i="18"/>
  <c r="J160"/>
  <c r="F170" i="10"/>
  <c r="F155"/>
  <c r="F125"/>
  <c r="F32"/>
  <c r="F140"/>
  <c r="E15" i="7"/>
  <c r="Q58" i="4"/>
  <c r="H65"/>
  <c r="G13" i="8" s="1"/>
  <c r="G15" s="1"/>
  <c r="H52" i="4"/>
  <c r="O49"/>
  <c r="N68"/>
  <c r="H274" i="17"/>
  <c r="H276" s="1"/>
  <c r="F22" i="7"/>
  <c r="I47" i="6"/>
  <c r="F171" i="10"/>
  <c r="F156"/>
  <c r="F33"/>
  <c r="F126"/>
  <c r="F141"/>
  <c r="I164" i="14"/>
  <c r="I165"/>
  <c r="J281" i="13"/>
  <c r="J282"/>
  <c r="E301"/>
  <c r="E304" s="1"/>
  <c r="C18" i="7"/>
  <c r="F49" i="6"/>
  <c r="H41"/>
  <c r="F8" i="7"/>
  <c r="I36" i="6"/>
  <c r="H145" i="10"/>
  <c r="H130"/>
  <c r="H37"/>
  <c r="H175"/>
  <c r="H160"/>
  <c r="I160"/>
  <c r="I145"/>
  <c r="I37"/>
  <c r="I175"/>
  <c r="I130"/>
  <c r="I281" i="13"/>
  <c r="I282"/>
  <c r="I18" i="6"/>
  <c r="J9" s="1"/>
  <c r="E57" l="1"/>
  <c r="D11" i="2" s="1"/>
  <c r="D12" s="1"/>
  <c r="C83" i="10" s="1"/>
  <c r="C11" i="9"/>
  <c r="C27" s="1"/>
  <c r="C28" s="1"/>
  <c r="J41" i="7"/>
  <c r="D36"/>
  <c r="E164" i="10" s="1"/>
  <c r="E185" i="14"/>
  <c r="E187" s="1"/>
  <c r="E29" i="7"/>
  <c r="D23" i="9"/>
  <c r="D45" i="10"/>
  <c r="D149"/>
  <c r="D179"/>
  <c r="D134"/>
  <c r="D164"/>
  <c r="H21" i="6"/>
  <c r="H42" s="1"/>
  <c r="H44" s="1"/>
  <c r="I8"/>
  <c r="I12" s="1"/>
  <c r="G289" i="13"/>
  <c r="E179" i="10"/>
  <c r="K16" i="6"/>
  <c r="J289" i="13" s="1"/>
  <c r="J16" i="6"/>
  <c r="K17"/>
  <c r="F301" i="13"/>
  <c r="F304" s="1"/>
  <c r="I262" i="17"/>
  <c r="G22" i="7" s="1"/>
  <c r="I37" i="6"/>
  <c r="I41" s="1"/>
  <c r="J34"/>
  <c r="J228" i="13"/>
  <c r="H8" i="7" s="1"/>
  <c r="G49" i="6"/>
  <c r="K40" i="7"/>
  <c r="J150" i="14"/>
  <c r="J152" s="1"/>
  <c r="K37" i="6" s="1"/>
  <c r="I166" i="14"/>
  <c r="J17" i="6" s="1"/>
  <c r="C109" i="10"/>
  <c r="G129"/>
  <c r="G36"/>
  <c r="G159"/>
  <c r="G174"/>
  <c r="H50" i="6"/>
  <c r="F54"/>
  <c r="F55" s="1"/>
  <c r="D11" i="9" s="1"/>
  <c r="K6" i="6"/>
  <c r="J259" i="17" s="1"/>
  <c r="J262" s="1"/>
  <c r="K47" i="6" s="1"/>
  <c r="C25" i="7"/>
  <c r="D150" i="10" s="1"/>
  <c r="D23" i="7"/>
  <c r="K34" i="6"/>
  <c r="F180" i="18"/>
  <c r="F182" s="1"/>
  <c r="I174" i="10"/>
  <c r="I36"/>
  <c r="I159"/>
  <c r="I129"/>
  <c r="I144"/>
  <c r="G50" i="6"/>
  <c r="D19" i="7"/>
  <c r="F185" i="14"/>
  <c r="F187" s="1"/>
  <c r="J7" i="6"/>
  <c r="I288" i="13" s="1"/>
  <c r="E19" i="7"/>
  <c r="Q62" i="4"/>
  <c r="Q63" s="1"/>
  <c r="J36" i="6"/>
  <c r="G9" i="7"/>
  <c r="G15" s="1"/>
  <c r="J37" i="6"/>
  <c r="H171" i="18"/>
  <c r="H174" i="14"/>
  <c r="J8" i="6"/>
  <c r="H288" i="13"/>
  <c r="F39" i="10"/>
  <c r="F147"/>
  <c r="F177"/>
  <c r="G180" i="18"/>
  <c r="G182" s="1"/>
  <c r="E23" i="7"/>
  <c r="H52" i="6"/>
  <c r="O50" i="4"/>
  <c r="O52" s="1"/>
  <c r="O65"/>
  <c r="F6" i="9"/>
  <c r="I21" i="6"/>
  <c r="I42" s="1"/>
  <c r="F162" i="10"/>
  <c r="I49" i="4"/>
  <c r="H68"/>
  <c r="H144" i="10"/>
  <c r="H129"/>
  <c r="H174"/>
  <c r="H159"/>
  <c r="H36"/>
  <c r="G125"/>
  <c r="G32"/>
  <c r="G170"/>
  <c r="G140"/>
  <c r="G155"/>
  <c r="F15" i="7"/>
  <c r="H140" i="10"/>
  <c r="H125"/>
  <c r="H170"/>
  <c r="H155"/>
  <c r="H32"/>
  <c r="G126"/>
  <c r="G33"/>
  <c r="G171"/>
  <c r="G141"/>
  <c r="G156"/>
  <c r="F132"/>
  <c r="K18" i="6"/>
  <c r="I274" i="17" l="1"/>
  <c r="I276" s="1"/>
  <c r="Q64" i="4"/>
  <c r="E23" i="9"/>
  <c r="E149" i="10"/>
  <c r="F28" i="7"/>
  <c r="H291" i="13"/>
  <c r="F18" i="7" s="1"/>
  <c r="E28"/>
  <c r="E36" s="1"/>
  <c r="G291" i="13"/>
  <c r="G301" s="1"/>
  <c r="G304" s="1"/>
  <c r="E45" i="10"/>
  <c r="E134"/>
  <c r="H173" i="14"/>
  <c r="H176" s="1"/>
  <c r="D151" i="10"/>
  <c r="D152" s="1"/>
  <c r="F29" i="7"/>
  <c r="G185" i="14"/>
  <c r="G187" s="1"/>
  <c r="E20" i="2"/>
  <c r="E22" s="1"/>
  <c r="G54" i="6"/>
  <c r="G55" s="1"/>
  <c r="E11" i="9" s="1"/>
  <c r="E12" s="1"/>
  <c r="C15" i="10"/>
  <c r="D22"/>
  <c r="J274" i="17"/>
  <c r="J276" s="1"/>
  <c r="J47" i="6"/>
  <c r="K36"/>
  <c r="K41" s="1"/>
  <c r="H9" i="7"/>
  <c r="I33" i="10" s="1"/>
  <c r="C94"/>
  <c r="C71"/>
  <c r="D27" i="9"/>
  <c r="D28" s="1"/>
  <c r="D12"/>
  <c r="H22" i="7"/>
  <c r="D165" i="10"/>
  <c r="D166" s="1"/>
  <c r="D167" s="1"/>
  <c r="D25" i="7"/>
  <c r="E150" i="10" s="1"/>
  <c r="D180"/>
  <c r="D181" s="1"/>
  <c r="D182" s="1"/>
  <c r="D135"/>
  <c r="D136" s="1"/>
  <c r="D137" s="1"/>
  <c r="D22" i="9"/>
  <c r="D41" i="10"/>
  <c r="D43" s="1"/>
  <c r="D47" s="1"/>
  <c r="C38" i="7"/>
  <c r="C40" s="1"/>
  <c r="J174" i="14"/>
  <c r="J41" i="6"/>
  <c r="K21"/>
  <c r="K42" s="1"/>
  <c r="J12"/>
  <c r="I44"/>
  <c r="G39" i="10"/>
  <c r="G177"/>
  <c r="O68" i="4"/>
  <c r="P49"/>
  <c r="H6" i="9"/>
  <c r="H180" i="18"/>
  <c r="H182" s="1"/>
  <c r="F23" i="7"/>
  <c r="I52" i="6"/>
  <c r="H141" i="10"/>
  <c r="H147" s="1"/>
  <c r="H126"/>
  <c r="H132" s="1"/>
  <c r="H33"/>
  <c r="H39" s="1"/>
  <c r="H171"/>
  <c r="H177" s="1"/>
  <c r="H156"/>
  <c r="H162" s="1"/>
  <c r="G147"/>
  <c r="I289" i="13"/>
  <c r="G28" i="7" s="1"/>
  <c r="K7" i="6"/>
  <c r="J21"/>
  <c r="J42" s="1"/>
  <c r="I174" i="14"/>
  <c r="K8" i="6"/>
  <c r="I173" i="14"/>
  <c r="G162" i="10"/>
  <c r="G132"/>
  <c r="I65" i="4"/>
  <c r="H13" i="8" s="1"/>
  <c r="H15" s="1"/>
  <c r="I52" i="4"/>
  <c r="I68" s="1"/>
  <c r="G6" i="9"/>
  <c r="I155" i="10"/>
  <c r="I140"/>
  <c r="I32"/>
  <c r="I170"/>
  <c r="I125"/>
  <c r="O66" i="4"/>
  <c r="F97" s="1"/>
  <c r="O51"/>
  <c r="E151" i="10" l="1"/>
  <c r="E152" s="1"/>
  <c r="I49" i="6"/>
  <c r="F134" i="10"/>
  <c r="F23" i="9"/>
  <c r="H301" i="13"/>
  <c r="H304" s="1"/>
  <c r="I291"/>
  <c r="I301" s="1"/>
  <c r="I304" s="1"/>
  <c r="F36" i="7"/>
  <c r="G179" i="10" s="1"/>
  <c r="F149"/>
  <c r="E18" i="7"/>
  <c r="E25" s="1"/>
  <c r="F165" i="10" s="1"/>
  <c r="H49" i="6"/>
  <c r="H54" s="1"/>
  <c r="H55" s="1"/>
  <c r="F11" i="9" s="1"/>
  <c r="F12" s="1"/>
  <c r="F164" i="10"/>
  <c r="F179"/>
  <c r="F45"/>
  <c r="I176" i="14"/>
  <c r="H185"/>
  <c r="H187" s="1"/>
  <c r="G29" i="7"/>
  <c r="G36" s="1"/>
  <c r="H179" i="10" s="1"/>
  <c r="E27" i="9"/>
  <c r="E28" s="1"/>
  <c r="I141" i="10"/>
  <c r="I147" s="1"/>
  <c r="I156"/>
  <c r="I162" s="1"/>
  <c r="D4" i="5"/>
  <c r="D8" s="1"/>
  <c r="I126" i="10"/>
  <c r="I132" s="1"/>
  <c r="H15" i="7"/>
  <c r="I6" i="9" s="1"/>
  <c r="I171" i="10"/>
  <c r="I177" s="1"/>
  <c r="C10" i="9"/>
  <c r="C7"/>
  <c r="B33" i="8"/>
  <c r="C33" s="1"/>
  <c r="L40" i="7"/>
  <c r="E41" i="10"/>
  <c r="E43" s="1"/>
  <c r="E47" s="1"/>
  <c r="E22" i="9"/>
  <c r="C45" i="7"/>
  <c r="D109" i="10" s="1"/>
  <c r="E180"/>
  <c r="E181" s="1"/>
  <c r="E182" s="1"/>
  <c r="E135"/>
  <c r="E136" s="1"/>
  <c r="E137" s="1"/>
  <c r="D38" i="7"/>
  <c r="D40" s="1"/>
  <c r="M40" s="1"/>
  <c r="E165" i="10"/>
  <c r="E166" s="1"/>
  <c r="E167" s="1"/>
  <c r="I50" i="6"/>
  <c r="F19" i="7"/>
  <c r="F25" s="1"/>
  <c r="G135" i="10" s="1"/>
  <c r="J44" i="6"/>
  <c r="K44"/>
  <c r="I171" i="18"/>
  <c r="J52" i="6" s="1"/>
  <c r="I39" i="10"/>
  <c r="J288" i="13"/>
  <c r="K12" i="6"/>
  <c r="P50" i="4"/>
  <c r="P66" s="1"/>
  <c r="G97" s="1"/>
  <c r="P65"/>
  <c r="O67"/>
  <c r="J171" i="18"/>
  <c r="J173" i="14"/>
  <c r="F166" i="10" l="1"/>
  <c r="F167" s="1"/>
  <c r="I54" i="6"/>
  <c r="I55" s="1"/>
  <c r="G11" i="9" s="1"/>
  <c r="G27" s="1"/>
  <c r="G28" s="1"/>
  <c r="G164" i="10"/>
  <c r="G45"/>
  <c r="G149"/>
  <c r="G18" i="7"/>
  <c r="J49" i="6"/>
  <c r="F27" i="9"/>
  <c r="F28" s="1"/>
  <c r="G23"/>
  <c r="G134" i="10"/>
  <c r="F22" i="9"/>
  <c r="F180" i="10"/>
  <c r="F181" s="1"/>
  <c r="F182" s="1"/>
  <c r="F150"/>
  <c r="F151" s="1"/>
  <c r="F152" s="1"/>
  <c r="F41"/>
  <c r="F43" s="1"/>
  <c r="F47" s="1"/>
  <c r="F135"/>
  <c r="F136" s="1"/>
  <c r="F137" s="1"/>
  <c r="E38" i="7"/>
  <c r="E40" s="1"/>
  <c r="N40" s="1"/>
  <c r="H28"/>
  <c r="J291" i="13"/>
  <c r="K49" i="6" s="1"/>
  <c r="H29" i="7"/>
  <c r="J176" i="14"/>
  <c r="H19" i="7" s="1"/>
  <c r="H45" i="10"/>
  <c r="G136"/>
  <c r="G137" s="1"/>
  <c r="H149"/>
  <c r="H23" i="9"/>
  <c r="H134" i="10"/>
  <c r="H164"/>
  <c r="F16" i="5"/>
  <c r="F17"/>
  <c r="C10"/>
  <c r="D10" s="1"/>
  <c r="F10" s="1"/>
  <c r="F21"/>
  <c r="F18"/>
  <c r="F20"/>
  <c r="F19"/>
  <c r="C12" i="9"/>
  <c r="F42" i="5"/>
  <c r="F25"/>
  <c r="F22"/>
  <c r="F29"/>
  <c r="F44"/>
  <c r="F31"/>
  <c r="F34"/>
  <c r="F37"/>
  <c r="F26"/>
  <c r="F41"/>
  <c r="F23"/>
  <c r="F45"/>
  <c r="F24"/>
  <c r="F32"/>
  <c r="F36"/>
  <c r="F39"/>
  <c r="F40"/>
  <c r="F27"/>
  <c r="F38"/>
  <c r="F33"/>
  <c r="F35"/>
  <c r="F43"/>
  <c r="F30"/>
  <c r="F28"/>
  <c r="D45" i="7"/>
  <c r="E109" i="10" s="1"/>
  <c r="F38" i="7"/>
  <c r="F40" s="1"/>
  <c r="G22" i="9"/>
  <c r="G23" i="7"/>
  <c r="G165" i="10"/>
  <c r="G180"/>
  <c r="G181" s="1"/>
  <c r="G182" s="1"/>
  <c r="P51" i="4"/>
  <c r="P67" s="1"/>
  <c r="G150" i="10"/>
  <c r="I180" i="18"/>
  <c r="I182" s="1"/>
  <c r="G41" i="10"/>
  <c r="G43" s="1"/>
  <c r="P52" i="4"/>
  <c r="Q49" s="1"/>
  <c r="J180" i="18"/>
  <c r="J182" s="1"/>
  <c r="H23" i="7"/>
  <c r="K52" i="6"/>
  <c r="D33" i="8"/>
  <c r="I185" i="14"/>
  <c r="I187" s="1"/>
  <c r="G19" i="7"/>
  <c r="J50" i="6"/>
  <c r="G12" i="9" l="1"/>
  <c r="J54" i="6"/>
  <c r="J55" s="1"/>
  <c r="H11" i="9" s="1"/>
  <c r="H12" s="1"/>
  <c r="G47" i="10"/>
  <c r="G166"/>
  <c r="G167" s="1"/>
  <c r="G151"/>
  <c r="G152" s="1"/>
  <c r="H36" i="7"/>
  <c r="I164" i="10" s="1"/>
  <c r="J185" i="14"/>
  <c r="J187" s="1"/>
  <c r="E45" i="7"/>
  <c r="F109" i="10" s="1"/>
  <c r="K50" i="6"/>
  <c r="K54" s="1"/>
  <c r="K55" s="1"/>
  <c r="I11" i="9" s="1"/>
  <c r="H18" i="7"/>
  <c r="H25" s="1"/>
  <c r="J301" i="13"/>
  <c r="J304" s="1"/>
  <c r="E10" i="5"/>
  <c r="G10" s="1"/>
  <c r="C11" s="1"/>
  <c r="D11" s="1"/>
  <c r="O40" i="7"/>
  <c r="G25"/>
  <c r="H180" i="10" s="1"/>
  <c r="H181" s="1"/>
  <c r="H182" s="1"/>
  <c r="F45" i="7"/>
  <c r="G109" i="10" s="1"/>
  <c r="P68" i="4"/>
  <c r="E33" i="8"/>
  <c r="Q65" i="4"/>
  <c r="Q50"/>
  <c r="Q52" s="1"/>
  <c r="Q68" s="1"/>
  <c r="H27" i="9" l="1"/>
  <c r="H28" s="1"/>
  <c r="I179" i="10"/>
  <c r="I23" i="9"/>
  <c r="I45" i="10"/>
  <c r="I149"/>
  <c r="I134"/>
  <c r="F11" i="5"/>
  <c r="E11" s="1"/>
  <c r="G11" s="1"/>
  <c r="C12" s="1"/>
  <c r="D12" s="1"/>
  <c r="I27" i="9"/>
  <c r="I28" s="1"/>
  <c r="I12"/>
  <c r="H165" i="10"/>
  <c r="H166" s="1"/>
  <c r="H167" s="1"/>
  <c r="H22" i="9"/>
  <c r="H135" i="10"/>
  <c r="H136" s="1"/>
  <c r="H137" s="1"/>
  <c r="H150"/>
  <c r="H151" s="1"/>
  <c r="H152" s="1"/>
  <c r="H41"/>
  <c r="H43" s="1"/>
  <c r="H47" s="1"/>
  <c r="G38" i="7"/>
  <c r="G40" s="1"/>
  <c r="F33" i="8"/>
  <c r="Q66" i="4"/>
  <c r="H97" s="1"/>
  <c r="Q51"/>
  <c r="Q67" s="1"/>
  <c r="I180" i="10"/>
  <c r="I181" s="1"/>
  <c r="I182" s="1"/>
  <c r="I41"/>
  <c r="I43" s="1"/>
  <c r="I47" s="1"/>
  <c r="I165"/>
  <c r="I166" s="1"/>
  <c r="I167" s="1"/>
  <c r="I135"/>
  <c r="I136" s="1"/>
  <c r="I137" s="1"/>
  <c r="I22" i="9"/>
  <c r="I150" i="10"/>
  <c r="H38" i="7"/>
  <c r="H40" s="1"/>
  <c r="Q40" s="1"/>
  <c r="I151" i="10" l="1"/>
  <c r="I152" s="1"/>
  <c r="C49"/>
  <c r="D28" i="2" s="1"/>
  <c r="F12" i="5"/>
  <c r="E12" s="1"/>
  <c r="G12" s="1"/>
  <c r="C13" s="1"/>
  <c r="D13" s="1"/>
  <c r="F13" s="1"/>
  <c r="G45" i="7"/>
  <c r="H109" i="10" s="1"/>
  <c r="P40" i="7"/>
  <c r="G33" i="8"/>
  <c r="H45" i="7"/>
  <c r="I109" i="10" s="1"/>
  <c r="E13" i="5" l="1"/>
  <c r="H33" i="8"/>
  <c r="G13" i="5" l="1"/>
  <c r="C14" s="1"/>
  <c r="D14" s="1"/>
  <c r="F14" s="1"/>
  <c r="E14" l="1"/>
  <c r="G14" s="1"/>
  <c r="C15" s="1"/>
  <c r="D15" s="1"/>
  <c r="F15" l="1"/>
  <c r="E15" s="1"/>
  <c r="G15" s="1"/>
  <c r="C16" s="1"/>
  <c r="D16" l="1"/>
  <c r="E16" s="1"/>
  <c r="G16" s="1"/>
  <c r="C17" s="1"/>
  <c r="D17" s="1"/>
  <c r="E17" s="1"/>
  <c r="G17" s="1"/>
  <c r="C18" s="1"/>
  <c r="D18" s="1"/>
  <c r="E18" s="1"/>
  <c r="G18" s="1"/>
  <c r="C19" s="1"/>
  <c r="D19" s="1"/>
  <c r="E19" s="1"/>
  <c r="G19" s="1"/>
  <c r="C20" s="1"/>
  <c r="D20" s="1"/>
  <c r="E20" l="1"/>
  <c r="G20" s="1"/>
  <c r="C21" s="1"/>
  <c r="D21" s="1"/>
  <c r="E21" l="1"/>
  <c r="C25" i="9" s="1"/>
  <c r="C26"/>
  <c r="C112" i="10" l="1"/>
  <c r="C113" s="1"/>
  <c r="B47" i="7"/>
  <c r="B49" s="1"/>
  <c r="C115" i="10"/>
  <c r="G21" i="5"/>
  <c r="C117" i="10" l="1"/>
  <c r="C22" i="5"/>
  <c r="B28" i="8"/>
  <c r="B31" s="1"/>
  <c r="J40" i="7"/>
  <c r="J42" s="1"/>
  <c r="B95" i="4"/>
  <c r="B98" s="1"/>
  <c r="D22" i="5" l="1"/>
  <c r="B99" i="4" l="1"/>
  <c r="B50" i="7" s="1"/>
  <c r="B51" s="1"/>
  <c r="D9" i="10" s="1"/>
  <c r="E22" i="5"/>
  <c r="C80" i="10" l="1"/>
  <c r="C29" i="9"/>
  <c r="C30" s="1"/>
  <c r="G22" i="5"/>
  <c r="C23" s="1"/>
  <c r="B53" i="7" l="1"/>
  <c r="B37" i="8" s="1"/>
  <c r="B39" s="1"/>
  <c r="C36" s="1"/>
  <c r="D14" i="10"/>
  <c r="D15" s="1"/>
  <c r="C31" i="9"/>
  <c r="C33" s="1"/>
  <c r="D95" i="10"/>
  <c r="D98" s="1"/>
  <c r="D99" s="1"/>
  <c r="C58"/>
  <c r="C63" s="1"/>
  <c r="C67" s="1"/>
  <c r="D23" i="5"/>
  <c r="B41" i="8" l="1"/>
  <c r="B43" s="1"/>
  <c r="D32" i="9"/>
  <c r="B8" i="8"/>
  <c r="B11" s="1"/>
  <c r="B20" s="1"/>
  <c r="E23" i="5"/>
  <c r="B46" i="8" l="1"/>
  <c r="G23" i="5"/>
  <c r="C24" s="1"/>
  <c r="D24" l="1"/>
  <c r="E24" l="1"/>
  <c r="G24" l="1"/>
  <c r="C25" s="1"/>
  <c r="D25" l="1"/>
  <c r="E25" l="1"/>
  <c r="G25" l="1"/>
  <c r="C26" s="1"/>
  <c r="D26" l="1"/>
  <c r="E26" l="1"/>
  <c r="G26" l="1"/>
  <c r="C27" s="1"/>
  <c r="D27" l="1"/>
  <c r="E27" s="1"/>
  <c r="G27" s="1"/>
  <c r="C28" s="1"/>
  <c r="D28" l="1"/>
  <c r="E28" s="1"/>
  <c r="G28" s="1"/>
  <c r="C29" s="1"/>
  <c r="D29" l="1"/>
  <c r="E29" s="1"/>
  <c r="G29" s="1"/>
  <c r="C30" s="1"/>
  <c r="D30" l="1"/>
  <c r="E30" s="1"/>
  <c r="G30" s="1"/>
  <c r="C31" s="1"/>
  <c r="D31" l="1"/>
  <c r="E31" s="1"/>
  <c r="G31" s="1"/>
  <c r="C32" s="1"/>
  <c r="D32" l="1"/>
  <c r="E32" s="1"/>
  <c r="G32" s="1"/>
  <c r="C33" s="1"/>
  <c r="D33" l="1"/>
  <c r="E33" l="1"/>
  <c r="D25" i="9" s="1"/>
  <c r="D26"/>
  <c r="D115" i="10" l="1"/>
  <c r="G33" i="5"/>
  <c r="D112" i="10"/>
  <c r="D113" s="1"/>
  <c r="C47" i="7"/>
  <c r="C49" s="1"/>
  <c r="D117" i="10" l="1"/>
  <c r="C34" i="5"/>
  <c r="C28" i="8"/>
  <c r="C31" s="1"/>
  <c r="C95" i="4"/>
  <c r="C98" s="1"/>
  <c r="C99" s="1"/>
  <c r="C50" i="7" l="1"/>
  <c r="C51" s="1"/>
  <c r="D34" i="5"/>
  <c r="D29" i="9" l="1"/>
  <c r="D30" s="1"/>
  <c r="E34" i="5"/>
  <c r="C53" i="7" l="1"/>
  <c r="D80" i="10"/>
  <c r="D31" i="9"/>
  <c r="D33" s="1"/>
  <c r="E9" i="10"/>
  <c r="E95"/>
  <c r="E98" s="1"/>
  <c r="E99" s="1"/>
  <c r="C37" i="8"/>
  <c r="C39" s="1"/>
  <c r="C41" s="1"/>
  <c r="C43" s="1"/>
  <c r="D58" i="10"/>
  <c r="D63" s="1"/>
  <c r="D67" s="1"/>
  <c r="G34" i="5"/>
  <c r="C35" s="1"/>
  <c r="C8" i="8" l="1"/>
  <c r="C11" s="1"/>
  <c r="C20" s="1"/>
  <c r="C46" s="1"/>
  <c r="E32" i="9"/>
  <c r="E14" i="10"/>
  <c r="E15" s="1"/>
  <c r="D36" i="8"/>
  <c r="D35" i="5"/>
  <c r="E35" l="1"/>
  <c r="G35" l="1"/>
  <c r="C36" s="1"/>
  <c r="D36" l="1"/>
  <c r="E36" l="1"/>
  <c r="G36" l="1"/>
  <c r="C37" s="1"/>
  <c r="D37" l="1"/>
  <c r="E37" l="1"/>
  <c r="G37" l="1"/>
  <c r="C38" s="1"/>
  <c r="D38" l="1"/>
  <c r="E38" l="1"/>
  <c r="G38" l="1"/>
  <c r="C39" s="1"/>
  <c r="D39" l="1"/>
  <c r="E39" s="1"/>
  <c r="G39" s="1"/>
  <c r="C40" s="1"/>
  <c r="D40" l="1"/>
  <c r="E40" s="1"/>
  <c r="G40" s="1"/>
  <c r="C41" s="1"/>
  <c r="D41" l="1"/>
  <c r="E41" s="1"/>
  <c r="G41" s="1"/>
  <c r="C42" s="1"/>
  <c r="D42" l="1"/>
  <c r="E42" s="1"/>
  <c r="G42" s="1"/>
  <c r="C43" s="1"/>
  <c r="D43" l="1"/>
  <c r="E43" s="1"/>
  <c r="G43" s="1"/>
  <c r="C44" s="1"/>
  <c r="D44" l="1"/>
  <c r="E44" s="1"/>
  <c r="G44" s="1"/>
  <c r="C45" s="1"/>
  <c r="D45" l="1"/>
  <c r="E45" l="1"/>
  <c r="E25" i="9" s="1"/>
  <c r="E26"/>
  <c r="E115" i="10" l="1"/>
  <c r="G45" i="5"/>
  <c r="E112" i="10"/>
  <c r="E113" s="1"/>
  <c r="D47" i="7"/>
  <c r="D49" s="1"/>
  <c r="E117" i="10" l="1"/>
  <c r="C119" s="1"/>
  <c r="C46" i="5"/>
  <c r="D28" i="8"/>
  <c r="D31" s="1"/>
  <c r="D95" i="4"/>
  <c r="D98" s="1"/>
  <c r="D99" s="1"/>
  <c r="D50" i="7" s="1"/>
  <c r="E29" i="9" s="1"/>
  <c r="E30" s="1"/>
  <c r="E31" s="1"/>
  <c r="E33" s="1"/>
  <c r="D51" i="7" l="1"/>
  <c r="E80" i="10" s="1"/>
  <c r="F32" i="9"/>
  <c r="D8" i="8"/>
  <c r="D11" s="1"/>
  <c r="D20" s="1"/>
  <c r="D46" i="5"/>
  <c r="E46" s="1"/>
  <c r="D53" i="7" l="1"/>
  <c r="F95" i="10"/>
  <c r="F98" s="1"/>
  <c r="F99" s="1"/>
  <c r="F9"/>
  <c r="F14" s="1"/>
  <c r="F15" s="1"/>
  <c r="D37" i="8"/>
  <c r="D39" s="1"/>
  <c r="D41" s="1"/>
  <c r="D43" s="1"/>
  <c r="D46" s="1"/>
  <c r="E58" i="10"/>
  <c r="E63" s="1"/>
  <c r="E67" s="1"/>
  <c r="E36" i="8" l="1"/>
  <c r="G46" i="5"/>
  <c r="C47" s="1"/>
  <c r="D47" l="1"/>
  <c r="E47" l="1"/>
  <c r="G47" l="1"/>
  <c r="C48" s="1"/>
  <c r="D48" l="1"/>
  <c r="E48" l="1"/>
  <c r="G48" l="1"/>
  <c r="C49" s="1"/>
  <c r="D49" l="1"/>
  <c r="E49" l="1"/>
  <c r="G49" l="1"/>
  <c r="C50" s="1"/>
  <c r="D50" l="1"/>
  <c r="E50" l="1"/>
  <c r="G50" l="1"/>
  <c r="C51" s="1"/>
  <c r="D51" l="1"/>
  <c r="E51" s="1"/>
  <c r="G51" s="1"/>
  <c r="C52" s="1"/>
  <c r="D52" l="1"/>
  <c r="E52" s="1"/>
  <c r="G52" s="1"/>
  <c r="C53" s="1"/>
  <c r="D53" l="1"/>
  <c r="E53" s="1"/>
  <c r="G53" s="1"/>
  <c r="C54" s="1"/>
  <c r="D54" l="1"/>
  <c r="E54" s="1"/>
  <c r="G54" s="1"/>
  <c r="C55" s="1"/>
  <c r="D55" l="1"/>
  <c r="E55" s="1"/>
  <c r="G55" s="1"/>
  <c r="C56" s="1"/>
  <c r="D56" l="1"/>
  <c r="E56" s="1"/>
  <c r="G56" s="1"/>
  <c r="C57" s="1"/>
  <c r="D57" l="1"/>
  <c r="E57" l="1"/>
  <c r="F26" i="9"/>
  <c r="F25" l="1"/>
  <c r="F115" i="10" s="1"/>
  <c r="G57" i="5"/>
  <c r="F112" i="10"/>
  <c r="F113" s="1"/>
  <c r="E47" i="7"/>
  <c r="E49" s="1"/>
  <c r="E28" i="8" l="1"/>
  <c r="E31" s="1"/>
  <c r="C58" i="5"/>
  <c r="E95" i="4"/>
  <c r="E98" s="1"/>
  <c r="E99" s="1"/>
  <c r="E50" i="7" s="1"/>
  <c r="F29" i="9" s="1"/>
  <c r="F30" s="1"/>
  <c r="F31" s="1"/>
  <c r="F33" s="1"/>
  <c r="E51" i="7" l="1"/>
  <c r="E8" i="8"/>
  <c r="E11" s="1"/>
  <c r="E20" s="1"/>
  <c r="G32" i="9"/>
  <c r="D58" i="5"/>
  <c r="F58" i="10" l="1"/>
  <c r="F63" s="1"/>
  <c r="F67" s="1"/>
  <c r="F80"/>
  <c r="G95"/>
  <c r="G98" s="1"/>
  <c r="G99" s="1"/>
  <c r="G9"/>
  <c r="G14" s="1"/>
  <c r="G15" s="1"/>
  <c r="E37" i="8"/>
  <c r="E39" s="1"/>
  <c r="E53" i="7"/>
  <c r="E58" i="5"/>
  <c r="F36" i="8" l="1"/>
  <c r="E41"/>
  <c r="E43" s="1"/>
  <c r="E46" s="1"/>
  <c r="G58" i="5"/>
  <c r="C59" s="1"/>
  <c r="D59" l="1"/>
  <c r="E59" l="1"/>
  <c r="G59" l="1"/>
  <c r="C60" s="1"/>
  <c r="D60" l="1"/>
  <c r="E60" l="1"/>
  <c r="G60" l="1"/>
  <c r="C61" s="1"/>
  <c r="D61" l="1"/>
  <c r="E61" l="1"/>
  <c r="G61" l="1"/>
  <c r="C62" s="1"/>
  <c r="D62" l="1"/>
  <c r="E62" l="1"/>
  <c r="G62" l="1"/>
  <c r="C63" s="1"/>
  <c r="D63" l="1"/>
  <c r="E63" s="1"/>
  <c r="G63" s="1"/>
  <c r="C64" s="1"/>
  <c r="D64" l="1"/>
  <c r="E64" s="1"/>
  <c r="G64" s="1"/>
  <c r="C65" s="1"/>
  <c r="D65" l="1"/>
  <c r="E65" s="1"/>
  <c r="G65" s="1"/>
  <c r="C66" s="1"/>
  <c r="D66" l="1"/>
  <c r="E66" s="1"/>
  <c r="G66" s="1"/>
  <c r="C67" s="1"/>
  <c r="D67" l="1"/>
  <c r="E67" s="1"/>
  <c r="G67" s="1"/>
  <c r="C68" s="1"/>
  <c r="D68" l="1"/>
  <c r="E68" s="1"/>
  <c r="G68" s="1"/>
  <c r="C69" s="1"/>
  <c r="D69" l="1"/>
  <c r="E69" l="1"/>
  <c r="G26" i="9"/>
  <c r="G25" l="1"/>
  <c r="G115" i="10" s="1"/>
  <c r="G69" i="5"/>
  <c r="G112" i="10"/>
  <c r="G113" s="1"/>
  <c r="F47" i="7"/>
  <c r="F49" s="1"/>
  <c r="C70" i="5" l="1"/>
  <c r="F28" i="8"/>
  <c r="F31" s="1"/>
  <c r="F95" i="4"/>
  <c r="F98" s="1"/>
  <c r="F99" s="1"/>
  <c r="F50" i="7" s="1"/>
  <c r="G29" i="9" s="1"/>
  <c r="G30" s="1"/>
  <c r="G31" s="1"/>
  <c r="G33" s="1"/>
  <c r="F51" i="7" l="1"/>
  <c r="F8" i="8"/>
  <c r="F11" s="1"/>
  <c r="F20" s="1"/>
  <c r="H32" i="9"/>
  <c r="D70" i="5"/>
  <c r="H95" i="10" l="1"/>
  <c r="H98" s="1"/>
  <c r="G80"/>
  <c r="G58"/>
  <c r="G63" s="1"/>
  <c r="G67" s="1"/>
  <c r="H9"/>
  <c r="H14" s="1"/>
  <c r="H15" s="1"/>
  <c r="F37" i="8"/>
  <c r="F39" s="1"/>
  <c r="F53" i="7"/>
  <c r="E70" i="5"/>
  <c r="H99" i="10" l="1"/>
  <c r="D101"/>
  <c r="D32" i="2" s="1"/>
  <c r="G36" i="8"/>
  <c r="F41"/>
  <c r="F43" s="1"/>
  <c r="F46" s="1"/>
  <c r="G70" i="5"/>
  <c r="C71" s="1"/>
  <c r="D71" l="1"/>
  <c r="E71" l="1"/>
  <c r="G71" l="1"/>
  <c r="C72" s="1"/>
  <c r="D72" l="1"/>
  <c r="E72" l="1"/>
  <c r="G72" l="1"/>
  <c r="C73" s="1"/>
  <c r="D73" l="1"/>
  <c r="E73" l="1"/>
  <c r="G73" l="1"/>
  <c r="C74" s="1"/>
  <c r="D74" l="1"/>
  <c r="E74" l="1"/>
  <c r="G74" l="1"/>
  <c r="C75" s="1"/>
  <c r="D75" l="1"/>
  <c r="E75" s="1"/>
  <c r="G75" s="1"/>
  <c r="C76" s="1"/>
  <c r="D76" l="1"/>
  <c r="E76" s="1"/>
  <c r="G76" s="1"/>
  <c r="C77" s="1"/>
  <c r="D77" l="1"/>
  <c r="E77" s="1"/>
  <c r="G77" s="1"/>
  <c r="C78" s="1"/>
  <c r="D78" l="1"/>
  <c r="E78" s="1"/>
  <c r="G78" s="1"/>
  <c r="C79" s="1"/>
  <c r="D79" l="1"/>
  <c r="E79" s="1"/>
  <c r="G79" s="1"/>
  <c r="C80" s="1"/>
  <c r="D80" l="1"/>
  <c r="E80" s="1"/>
  <c r="G80" s="1"/>
  <c r="C81" s="1"/>
  <c r="D81" l="1"/>
  <c r="E81" l="1"/>
  <c r="H26" i="9"/>
  <c r="H25" l="1"/>
  <c r="H115" i="10" s="1"/>
  <c r="G81" i="5"/>
  <c r="H112" i="10"/>
  <c r="H113" s="1"/>
  <c r="G47" i="7"/>
  <c r="G49" s="1"/>
  <c r="C82" i="5" l="1"/>
  <c r="G28" i="8"/>
  <c r="G31" s="1"/>
  <c r="G95" i="4"/>
  <c r="G98" s="1"/>
  <c r="G99" s="1"/>
  <c r="G50" i="7" s="1"/>
  <c r="H29" i="9" s="1"/>
  <c r="H30" s="1"/>
  <c r="H31" s="1"/>
  <c r="H33" s="1"/>
  <c r="G51" i="7" l="1"/>
  <c r="G8" i="8"/>
  <c r="G11" s="1"/>
  <c r="G20" s="1"/>
  <c r="I32" i="9"/>
  <c r="D82" i="5"/>
  <c r="E82" l="1"/>
  <c r="H58" i="10"/>
  <c r="H63" s="1"/>
  <c r="H67" s="1"/>
  <c r="I95"/>
  <c r="I98" s="1"/>
  <c r="I9"/>
  <c r="I14" s="1"/>
  <c r="I15" s="1"/>
  <c r="G37" i="8"/>
  <c r="G39" s="1"/>
  <c r="H80" i="10"/>
  <c r="G53" i="7"/>
  <c r="G82" i="5" l="1"/>
  <c r="C83" s="1"/>
  <c r="H36" i="8"/>
  <c r="G41"/>
  <c r="G43" s="1"/>
  <c r="G46" s="1"/>
  <c r="D83" i="5" l="1"/>
  <c r="E83" l="1"/>
  <c r="G83" l="1"/>
  <c r="C84" s="1"/>
  <c r="D84" l="1"/>
  <c r="E84" l="1"/>
  <c r="G84" l="1"/>
  <c r="C85" s="1"/>
  <c r="D85" l="1"/>
  <c r="E85" l="1"/>
  <c r="G85" l="1"/>
  <c r="C86" s="1"/>
  <c r="D86" l="1"/>
  <c r="E86" l="1"/>
  <c r="G86" l="1"/>
  <c r="C87" s="1"/>
  <c r="D87" l="1"/>
  <c r="E87" s="1"/>
  <c r="G87" s="1"/>
  <c r="C88" s="1"/>
  <c r="D88" l="1"/>
  <c r="E88" s="1"/>
  <c r="G88" s="1"/>
  <c r="C89" s="1"/>
  <c r="D89" l="1"/>
  <c r="E89" s="1"/>
  <c r="G89" s="1"/>
  <c r="C90" s="1"/>
  <c r="D90" l="1"/>
  <c r="E90" s="1"/>
  <c r="G90" s="1"/>
  <c r="C91" s="1"/>
  <c r="D91" l="1"/>
  <c r="E91" s="1"/>
  <c r="G91" s="1"/>
  <c r="C92" s="1"/>
  <c r="D92" l="1"/>
  <c r="E92" s="1"/>
  <c r="G92" s="1"/>
  <c r="C93" s="1"/>
  <c r="D93" l="1"/>
  <c r="E93" l="1"/>
  <c r="D94"/>
  <c r="I26" i="9"/>
  <c r="E94" i="5" l="1"/>
  <c r="I25" i="9"/>
  <c r="I115" i="10" s="1"/>
  <c r="G93" i="5"/>
  <c r="I112" i="10"/>
  <c r="I113" s="1"/>
  <c r="H47" i="7"/>
  <c r="H49" s="1"/>
  <c r="H95" i="4" l="1"/>
  <c r="H98" s="1"/>
  <c r="H99" s="1"/>
  <c r="H50" i="7" s="1"/>
  <c r="I29" i="9" s="1"/>
  <c r="I30" s="1"/>
  <c r="I31" s="1"/>
  <c r="I33" s="1"/>
  <c r="H8" i="8" s="1"/>
  <c r="H11" s="1"/>
  <c r="H20" s="1"/>
  <c r="H51" i="7" l="1"/>
  <c r="D33" i="2"/>
  <c r="I80" i="10" l="1"/>
  <c r="C82" s="1"/>
  <c r="C85" s="1"/>
  <c r="J95"/>
  <c r="J98" s="1"/>
  <c r="I58"/>
  <c r="I63" s="1"/>
  <c r="I67" s="1"/>
  <c r="C69" s="1"/>
  <c r="C73" s="1"/>
  <c r="D31" i="2" s="1"/>
  <c r="J9" i="10"/>
  <c r="J14" s="1"/>
  <c r="J15" s="1"/>
  <c r="C16" s="1"/>
  <c r="H37" i="8"/>
  <c r="H39" s="1"/>
  <c r="H41" s="1"/>
  <c r="H43" s="1"/>
  <c r="H46" s="1"/>
  <c r="H53" i="7"/>
  <c r="D18" i="10" l="1"/>
  <c r="E18" s="1"/>
  <c r="F18" s="1"/>
  <c r="G18" s="1"/>
  <c r="H18" s="1"/>
  <c r="I18" s="1"/>
  <c r="J18" s="1"/>
  <c r="D29" i="2"/>
  <c r="D30" l="1"/>
  <c r="D19" i="10"/>
  <c r="E19" l="1"/>
  <c r="F19" l="1"/>
  <c r="G19" l="1"/>
  <c r="H19" l="1"/>
  <c r="J19" l="1"/>
  <c r="I19"/>
  <c r="D20" l="1"/>
  <c r="F23" s="1"/>
</calcChain>
</file>

<file path=xl/sharedStrings.xml><?xml version="1.0" encoding="utf-8"?>
<sst xmlns="http://schemas.openxmlformats.org/spreadsheetml/2006/main" count="1439" uniqueCount="734">
  <si>
    <t>Note for users</t>
  </si>
  <si>
    <t xml:space="preserve">1.0 About the calculator </t>
  </si>
  <si>
    <r>
      <rPr>
        <sz val="11"/>
        <color rgb="FF000000"/>
        <rFont val="Calibri"/>
        <family val="2"/>
      </rPr>
      <t xml:space="preserve">The business plan financial calculator will be the tool to generate the financial projection of the business plan based on the certain data inputs. </t>
    </r>
    <r>
      <rPr>
        <b/>
        <sz val="11"/>
        <color rgb="FF000000"/>
        <rFont val="Calibri"/>
        <family val="2"/>
      </rPr>
      <t xml:space="preserve">It will be the tool which can be easily used by any professional who understand the basic accounting. The business plan financial calculator will generate following statements automatically based on certain data inputs:
</t>
    </r>
    <r>
      <rPr>
        <sz val="11"/>
        <color rgb="FF000000"/>
        <rFont val="Calibri"/>
        <family val="2"/>
      </rPr>
      <t>1. Profit and Loss Statement
2. Cash Flow Statement
3. Balance Sheet
4</t>
    </r>
    <r>
      <rPr>
        <sz val="11"/>
        <color rgb="FFC00000"/>
        <rFont val="Calibri"/>
        <family val="2"/>
      </rPr>
      <t xml:space="preserve">. </t>
    </r>
    <r>
      <rPr>
        <sz val="11"/>
        <color rgb="FF000000"/>
        <rFont val="Calibri"/>
        <family val="2"/>
      </rPr>
      <t xml:space="preserve">Depreciation, amortization and tax calculation </t>
    </r>
    <r>
      <rPr>
        <sz val="11"/>
        <color rgb="FF000000"/>
        <rFont val="Calibri"/>
        <family val="2"/>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rgb="FF000000"/>
        <rFont val="Calibri"/>
        <family val="2"/>
      </rPr>
      <t xml:space="preserve">
The above ratios will help  decision makers for approving the business plan / Full Project Report.</t>
    </r>
  </si>
  <si>
    <t xml:space="preserve">2.0 Features </t>
  </si>
  <si>
    <r>
      <rPr>
        <sz val="11"/>
        <color rgb="FF000000"/>
        <rFont val="Calibri"/>
        <family val="2"/>
      </rPr>
      <t>1.0 It helps in preparing financial projections for both type of sub-projects.i.e. Grain and Frutis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t>
    </r>
    <r>
      <rPr>
        <sz val="11"/>
        <color rgb="FFC00000"/>
        <rFont val="Calibri"/>
        <family val="2"/>
      </rPr>
      <t xml:space="preserve">. </t>
    </r>
  </si>
  <si>
    <t xml:space="preserve">3.0 Preparatory work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</si>
  <si>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</si>
  <si>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t xml:space="preserve">4.0 Colour codes used </t>
  </si>
  <si>
    <t>Colour code</t>
  </si>
  <si>
    <t>Description</t>
  </si>
  <si>
    <t>Need to change/Place Values Manually</t>
  </si>
  <si>
    <t>Need to change figures subject to</t>
  </si>
  <si>
    <t xml:space="preserve">5.0 Guidance  note for using calculator </t>
  </si>
  <si>
    <t>Steps</t>
  </si>
  <si>
    <t xml:space="preserve">Sheet name </t>
  </si>
  <si>
    <t>Process</t>
  </si>
  <si>
    <t>Sheet No</t>
  </si>
  <si>
    <t>Remark</t>
  </si>
  <si>
    <t>A</t>
  </si>
  <si>
    <t xml:space="preserve"> Sheet in which need to enter data</t>
  </si>
  <si>
    <t>Step-1</t>
  </si>
  <si>
    <t xml:space="preserve">Please fill data in yellow colour cells i.e. members no, non-members , average area etc. </t>
  </si>
  <si>
    <t>Sheet No. 10 for grain and 11 for F &amp; V</t>
  </si>
  <si>
    <t>Step-2</t>
  </si>
  <si>
    <t xml:space="preserve">CAPEX Details </t>
  </si>
  <si>
    <t xml:space="preserve">Kindly fill yellow cells by using rates mentioned in estimates of civil structures and quotation's of machineries and equipment's </t>
  </si>
  <si>
    <t>Sheet No. 2</t>
  </si>
  <si>
    <t>Step-3</t>
  </si>
  <si>
    <t>Project cost and Means of finance with financial indicators</t>
  </si>
  <si>
    <t>Please add bank loan per cent if applicable other wise put zero</t>
  </si>
  <si>
    <t>Sheet No. 1</t>
  </si>
  <si>
    <t xml:space="preserve">Generate automatically </t>
  </si>
  <si>
    <t>Step-4</t>
  </si>
  <si>
    <t xml:space="preserve">Business activity wise revenue, expenditure  and profit calculation </t>
  </si>
  <si>
    <t xml:space="preserve">Please fill necessary details in yellow cells  for calculating revenue and expenditure of identified business activities only. </t>
  </si>
  <si>
    <t>Sheet No. 12</t>
  </si>
  <si>
    <t xml:space="preserve">Facility-2 / Business activity - Processing (Grain, pulses, oilseed) </t>
  </si>
  <si>
    <t>Sheet No. 13</t>
  </si>
  <si>
    <t>Facility-3 Business activity -Warehouse</t>
  </si>
  <si>
    <t>Sheet No. 14</t>
  </si>
  <si>
    <t xml:space="preserve">Facility-4 Business activity -Custom hiring </t>
  </si>
  <si>
    <t>Sheet No. 15</t>
  </si>
  <si>
    <t>Facility-5 Business activity - Agri. Input</t>
  </si>
  <si>
    <t>Sheet No. 16</t>
  </si>
  <si>
    <t>Step-5</t>
  </si>
  <si>
    <t>Other expenditure and taxes</t>
  </si>
  <si>
    <t>Please add staff salary and other details in Yellow cell (in 3.1 table only)</t>
  </si>
  <si>
    <t>Sheet no.3 (Ref. 3.1 table only)</t>
  </si>
  <si>
    <t>Step-6</t>
  </si>
  <si>
    <t xml:space="preserve">TL repayment schedule </t>
  </si>
  <si>
    <t>Please add interest rate, tenure and Moratorium Period ( In Month) in green cells</t>
  </si>
  <si>
    <t>Sheet No. 4</t>
  </si>
  <si>
    <t>Step-7</t>
  </si>
  <si>
    <t xml:space="preserve">Closing stock and working capital </t>
  </si>
  <si>
    <t>Please add necessary details in yellow and green cells</t>
  </si>
  <si>
    <t>Sheet No. 5</t>
  </si>
  <si>
    <t>B</t>
  </si>
  <si>
    <t xml:space="preserve">Auto generating sheets  (No need to enter any data) </t>
  </si>
  <si>
    <t>B1</t>
  </si>
  <si>
    <t>Profit and Loss Statement</t>
  </si>
  <si>
    <t>Sheet No. 6</t>
  </si>
  <si>
    <t>B2</t>
  </si>
  <si>
    <t>Cash Flow Statement</t>
  </si>
  <si>
    <t>Sheet No. 7</t>
  </si>
  <si>
    <t>B3</t>
  </si>
  <si>
    <t>Balance Sheet</t>
  </si>
  <si>
    <t>Sheet No. 8</t>
  </si>
  <si>
    <t>B4</t>
  </si>
  <si>
    <t>Financial indicators  (IRR, BEP,NPV, ROI, Pay back period, DSCR, sensitivity analysis )</t>
  </si>
  <si>
    <t>Sheet No.9</t>
  </si>
  <si>
    <t>B5</t>
  </si>
  <si>
    <t xml:space="preserve">Depreciation, amortization and tax calculation </t>
  </si>
  <si>
    <t>Sheet No. 3 (Ref. 3.2 &amp; 3.3)</t>
  </si>
  <si>
    <t>Step-8</t>
  </si>
  <si>
    <t xml:space="preserve">Copy relevant tables in word file of FPP </t>
  </si>
  <si>
    <t>1.1 Total Project Cost</t>
  </si>
  <si>
    <t>Sr. No.</t>
  </si>
  <si>
    <t>Particular</t>
  </si>
  <si>
    <t>Amount (Rs.)</t>
  </si>
  <si>
    <t xml:space="preserve">Grant (%) </t>
  </si>
  <si>
    <t>Grant Amount (Rs.)</t>
  </si>
  <si>
    <t>Working Capital</t>
  </si>
  <si>
    <t>Total</t>
  </si>
  <si>
    <t>Total Project Costs means  the costs incurred or to be incurred by a FPC in connection with or incidental to the Construction and acquisition of assets including preoprtaive expenditure , design, construction and Working Capital</t>
  </si>
  <si>
    <t>1.2 Means of Finance</t>
  </si>
  <si>
    <t>Bank Loan (% )</t>
  </si>
  <si>
    <t xml:space="preserve">Govt. Grant under SMART Project </t>
  </si>
  <si>
    <t>Bank Finance - Long Term Loan</t>
  </si>
  <si>
    <t>Own Contribution</t>
  </si>
  <si>
    <t>This sheet provide details of how total project cost will raised</t>
  </si>
  <si>
    <t>1.3 Financial Indicators</t>
  </si>
  <si>
    <t>Financial ratio</t>
  </si>
  <si>
    <t>Estimated</t>
  </si>
  <si>
    <t>Result</t>
  </si>
  <si>
    <t>Permissible limit</t>
  </si>
  <si>
    <t>Break Even Point (BEP)</t>
  </si>
  <si>
    <t>Project Viable</t>
  </si>
  <si>
    <t xml:space="preserve">BEP shall be less than 60% </t>
  </si>
  <si>
    <t>&lt;60%</t>
  </si>
  <si>
    <t>Avg. Return on Capital Employed Average (ROCE)</t>
  </si>
  <si>
    <t xml:space="preserve">RoCE  for the project shall be more than 20% </t>
  </si>
  <si>
    <t>&gt;20%</t>
  </si>
  <si>
    <t>Internal Rate of Return (IRR)</t>
  </si>
  <si>
    <t xml:space="preserve">The project internal rate of return shall be more than 12% </t>
  </si>
  <si>
    <t>&gt;12%</t>
  </si>
  <si>
    <t>Net present value (at a discount rate of 10 per cent)</t>
  </si>
  <si>
    <t>NPV is high and positive at a conservative project life of 7 years</t>
  </si>
  <si>
    <t xml:space="preserve">With a discount rate of 10% and a span of 7 operational years, the NPV should be positive </t>
  </si>
  <si>
    <t>Positive</t>
  </si>
  <si>
    <t>Payback period</t>
  </si>
  <si>
    <t xml:space="preserve">The Pack Back Period (Project/ Equity) shall be less than 7 years </t>
  </si>
  <si>
    <t>&lt;7 years</t>
  </si>
  <si>
    <t>Debt Service Coverage Ratio (DSCR)</t>
  </si>
  <si>
    <t>DSCR shall be more than 2 for better performing project.</t>
  </si>
  <si>
    <t xml:space="preserve">           &gt;2</t>
  </si>
  <si>
    <t>Land and Building</t>
  </si>
  <si>
    <t>Unit</t>
  </si>
  <si>
    <t>No. of Unit</t>
  </si>
  <si>
    <t>Rate per unit</t>
  </si>
  <si>
    <t>Land</t>
  </si>
  <si>
    <t>Sq. ft.</t>
  </si>
  <si>
    <t>Lease</t>
  </si>
  <si>
    <t>This Sheet provide details of land and various construction, including area, rate per unit and total amount</t>
  </si>
  <si>
    <t>Machinery and Equipment</t>
  </si>
  <si>
    <t>Capacity</t>
  </si>
  <si>
    <t>No. Required</t>
  </si>
  <si>
    <t>Rate</t>
  </si>
  <si>
    <t>Total HP</t>
  </si>
  <si>
    <t>Custom Hiring</t>
  </si>
  <si>
    <t>Subtotal</t>
  </si>
  <si>
    <t>C</t>
  </si>
  <si>
    <t>Cleaning &amp; Grading</t>
  </si>
  <si>
    <t>D</t>
  </si>
  <si>
    <t>This Sheet provide details of Plant &amp; Machinary, including Capacity, rate per machaine, Power Consuption and total amount</t>
  </si>
  <si>
    <t>Furniture and Fixture</t>
  </si>
  <si>
    <t>This Sheet provide details of furniture and fixture, no.of Quantity, rate per unit and total amount</t>
  </si>
  <si>
    <t>IT &amp; It Infrastracture</t>
  </si>
  <si>
    <t>This Sheet provide details of vehicles, no.of vehicle, rate per vehicle and total amount</t>
  </si>
  <si>
    <t>Preliminary Expenses</t>
  </si>
  <si>
    <t>Amount  (Rs.)</t>
  </si>
  <si>
    <t>Preliminary expenses are considered as prior expenses before the beginning of business or Projects</t>
  </si>
  <si>
    <t>3.1 Schedule of General Admin Expenses</t>
  </si>
  <si>
    <t>Particulars</t>
  </si>
  <si>
    <t>No.of Unit</t>
  </si>
  <si>
    <t>Unit Cost</t>
  </si>
  <si>
    <t>Y1</t>
  </si>
  <si>
    <t>Y2</t>
  </si>
  <si>
    <t>Y3</t>
  </si>
  <si>
    <t>Y4</t>
  </si>
  <si>
    <t>Y5</t>
  </si>
  <si>
    <t>Y6</t>
  </si>
  <si>
    <t>Y7</t>
  </si>
  <si>
    <t xml:space="preserve"> Manager</t>
  </si>
  <si>
    <t>No.</t>
  </si>
  <si>
    <t>Accountant</t>
  </si>
  <si>
    <t>Watchmen</t>
  </si>
  <si>
    <t>Telephone and internet Exp</t>
  </si>
  <si>
    <t>Months</t>
  </si>
  <si>
    <t>Office Electricity Exp</t>
  </si>
  <si>
    <t>Printing &amp; Stationary</t>
  </si>
  <si>
    <t>Land Lease</t>
  </si>
  <si>
    <t>Misc.expenses</t>
  </si>
  <si>
    <t>Audit and Legal Compliences expenses</t>
  </si>
  <si>
    <t>Lumsum</t>
  </si>
  <si>
    <t xml:space="preserve">         Total Admin Expense</t>
  </si>
  <si>
    <t>3.2 Depreciation</t>
  </si>
  <si>
    <t>As per companies Act</t>
  </si>
  <si>
    <t>As per IT Act</t>
  </si>
  <si>
    <t>Assets</t>
  </si>
  <si>
    <t>Building</t>
  </si>
  <si>
    <t>Asset Value</t>
  </si>
  <si>
    <t>Depreciation</t>
  </si>
  <si>
    <t>Accumulated Depreciation</t>
  </si>
  <si>
    <t>Net Fixed Assets</t>
  </si>
  <si>
    <t>Plant and Machinary</t>
  </si>
  <si>
    <t>Furniture and Electrification</t>
  </si>
  <si>
    <t>Vehical</t>
  </si>
  <si>
    <t>IT Infrastracture</t>
  </si>
  <si>
    <t>Gross Fixed Asset</t>
  </si>
  <si>
    <t xml:space="preserve">Total Depreciation </t>
  </si>
  <si>
    <t>Accumalated Depreciation</t>
  </si>
  <si>
    <t>Amortization: Straight Line Method (SLM) is used</t>
  </si>
  <si>
    <t>Companies Act</t>
  </si>
  <si>
    <t>IT Act</t>
  </si>
  <si>
    <t>Depreciation: Straight Line Method (SLM) is used</t>
  </si>
  <si>
    <t>SLM</t>
  </si>
  <si>
    <t>WDV</t>
  </si>
  <si>
    <t>IT and Infrastructure</t>
  </si>
  <si>
    <t>Vehicle</t>
  </si>
  <si>
    <t>Plant and machinery</t>
  </si>
  <si>
    <t>Pre-operative or pre-incubation</t>
  </si>
  <si>
    <t>3.3 Amortization Schedule</t>
  </si>
  <si>
    <t>Years</t>
  </si>
  <si>
    <t>Total Value</t>
  </si>
  <si>
    <t>3.4 Tax Schedule</t>
  </si>
  <si>
    <t>EBT</t>
  </si>
  <si>
    <t>Add Depreciation as per companies Act</t>
  </si>
  <si>
    <t>Less Depreciation as per IT Act</t>
  </si>
  <si>
    <t>Taxable Income</t>
  </si>
  <si>
    <t>Provision of Taxes</t>
  </si>
  <si>
    <t>Maximum Tax rate</t>
  </si>
  <si>
    <t>This Sheet refer for provision of tax calculation</t>
  </si>
  <si>
    <t xml:space="preserve">4.1 Repayment Schedule </t>
  </si>
  <si>
    <t>Loan Amount (Rs)</t>
  </si>
  <si>
    <t>Interest rate /PA</t>
  </si>
  <si>
    <t>Loan Tenure in years</t>
  </si>
  <si>
    <t>Moratorium Period ( In Months)</t>
  </si>
  <si>
    <t>EMI</t>
  </si>
  <si>
    <t>Year</t>
  </si>
  <si>
    <t>Particluars</t>
  </si>
  <si>
    <t>Opening Balance</t>
  </si>
  <si>
    <t xml:space="preserve">Interest </t>
  </si>
  <si>
    <t>Pricipal Repayment</t>
  </si>
  <si>
    <t>Closing Outstanding</t>
  </si>
  <si>
    <t>Year 1</t>
  </si>
  <si>
    <t>Month 1</t>
  </si>
  <si>
    <t>Month 2</t>
  </si>
  <si>
    <t>Month 3</t>
  </si>
  <si>
    <t>Month 4</t>
  </si>
  <si>
    <t>Month 5</t>
  </si>
  <si>
    <t>Month 6</t>
  </si>
  <si>
    <t>Month 7</t>
  </si>
  <si>
    <t>Month 8</t>
  </si>
  <si>
    <t>Month 9</t>
  </si>
  <si>
    <t>Month 10</t>
  </si>
  <si>
    <t>Month 11</t>
  </si>
  <si>
    <t>Month 12</t>
  </si>
  <si>
    <t>Year 2</t>
  </si>
  <si>
    <t>Month 13</t>
  </si>
  <si>
    <t>Month 14</t>
  </si>
  <si>
    <t>Month 15</t>
  </si>
  <si>
    <t>Month 16</t>
  </si>
  <si>
    <t>Month 17</t>
  </si>
  <si>
    <t>Month 18</t>
  </si>
  <si>
    <t>Month 19</t>
  </si>
  <si>
    <t>Month 20</t>
  </si>
  <si>
    <t>Month 21</t>
  </si>
  <si>
    <t>Month 22</t>
  </si>
  <si>
    <t>Month 23</t>
  </si>
  <si>
    <t>Month 24</t>
  </si>
  <si>
    <t>Year 3</t>
  </si>
  <si>
    <t>Month 25</t>
  </si>
  <si>
    <t>Month 26</t>
  </si>
  <si>
    <t>Month 27</t>
  </si>
  <si>
    <t>Month 28</t>
  </si>
  <si>
    <t>Month 29</t>
  </si>
  <si>
    <t>Month 30</t>
  </si>
  <si>
    <t>Month 31</t>
  </si>
  <si>
    <t>Month 32</t>
  </si>
  <si>
    <t>Month 33</t>
  </si>
  <si>
    <t>Month 34</t>
  </si>
  <si>
    <t>Month 35</t>
  </si>
  <si>
    <t>Month 36</t>
  </si>
  <si>
    <t>Year 4</t>
  </si>
  <si>
    <t>Month 37</t>
  </si>
  <si>
    <t>Month 38</t>
  </si>
  <si>
    <t>Month 39</t>
  </si>
  <si>
    <t>Month 40</t>
  </si>
  <si>
    <t>Month 41</t>
  </si>
  <si>
    <t>Month 42</t>
  </si>
  <si>
    <t>Month 43</t>
  </si>
  <si>
    <t>Month 44</t>
  </si>
  <si>
    <t>Month 45</t>
  </si>
  <si>
    <t>Month 46</t>
  </si>
  <si>
    <t>Month 47</t>
  </si>
  <si>
    <t>Month 48</t>
  </si>
  <si>
    <t>Year 5</t>
  </si>
  <si>
    <t>Month 49</t>
  </si>
  <si>
    <t>Month 50</t>
  </si>
  <si>
    <t>Month 51</t>
  </si>
  <si>
    <t>Month 52</t>
  </si>
  <si>
    <t>Month 53</t>
  </si>
  <si>
    <t>Month 54</t>
  </si>
  <si>
    <t>Month 55</t>
  </si>
  <si>
    <t>Month 56</t>
  </si>
  <si>
    <t>Month 57</t>
  </si>
  <si>
    <t>Month 58</t>
  </si>
  <si>
    <t>Month 59</t>
  </si>
  <si>
    <t>Month 60</t>
  </si>
  <si>
    <t>Year 6</t>
  </si>
  <si>
    <t>Month 61</t>
  </si>
  <si>
    <t>Month 62</t>
  </si>
  <si>
    <t>Month 63</t>
  </si>
  <si>
    <t>Month 64</t>
  </si>
  <si>
    <t>Month 65</t>
  </si>
  <si>
    <t>Month 66</t>
  </si>
  <si>
    <t>Month 67</t>
  </si>
  <si>
    <t>Month 68</t>
  </si>
  <si>
    <t>Month 69</t>
  </si>
  <si>
    <t>Month 70</t>
  </si>
  <si>
    <t>Month 71</t>
  </si>
  <si>
    <t>Month 72</t>
  </si>
  <si>
    <t>Year 7</t>
  </si>
  <si>
    <t>Month 73</t>
  </si>
  <si>
    <t>Month 74</t>
  </si>
  <si>
    <t>Month 75</t>
  </si>
  <si>
    <t>Month 76</t>
  </si>
  <si>
    <t>Month 77</t>
  </si>
  <si>
    <t>Month 78</t>
  </si>
  <si>
    <t>Month 79</t>
  </si>
  <si>
    <t>Month 80</t>
  </si>
  <si>
    <t>Month 81</t>
  </si>
  <si>
    <t>Month 82</t>
  </si>
  <si>
    <t>Month 83</t>
  </si>
  <si>
    <t>Month 84</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</si>
  <si>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</si>
  <si>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Assumption:</t>
  </si>
  <si>
    <t>Rate of Interest assumed as 12%</t>
  </si>
  <si>
    <t>Moratorium Period 6 Months</t>
  </si>
  <si>
    <t>5.1 Closing and Opening Stock Calculation</t>
  </si>
  <si>
    <t>Opening Stock</t>
  </si>
  <si>
    <t>Grain Processing - Dal Mill</t>
  </si>
  <si>
    <t>F &amp; V Processing - Pomegrantes</t>
  </si>
  <si>
    <t>Agri Input</t>
  </si>
  <si>
    <t>Cost Of Production/Quintals</t>
  </si>
  <si>
    <t>Trading</t>
  </si>
  <si>
    <t>Bengal Gram</t>
  </si>
  <si>
    <t>Red Gram</t>
  </si>
  <si>
    <t>Black Gram</t>
  </si>
  <si>
    <t>Green Gram</t>
  </si>
  <si>
    <t>Pomegranate</t>
  </si>
  <si>
    <t xml:space="preserve">Grain Processing </t>
  </si>
  <si>
    <t>Purachse Price</t>
  </si>
  <si>
    <t>Purchase Price</t>
  </si>
  <si>
    <t>Closing Stock</t>
  </si>
  <si>
    <t>Total Cost of Production</t>
  </si>
  <si>
    <t xml:space="preserve">Horticulture Processing </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</si>
  <si>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</si>
  <si>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Closing stock of each facility is 5%</t>
  </si>
  <si>
    <t>5.2 Working Capital Calculation</t>
  </si>
  <si>
    <t>Duration (In days)</t>
  </si>
  <si>
    <t>Accounts Receivables (Debtors)</t>
  </si>
  <si>
    <t>Warehouse</t>
  </si>
  <si>
    <t>Processing Unit - Horti Commodity</t>
  </si>
  <si>
    <t>Accounts Payable &amp; Accrued Expenses (Creditors)</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</si>
  <si>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</si>
  <si>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Asumption:</t>
  </si>
  <si>
    <t>Company will receive credit from suppliers for 7 days</t>
  </si>
  <si>
    <t>6.1 Consolidated Profit and loss account for the Project</t>
  </si>
  <si>
    <t>Revenue</t>
  </si>
  <si>
    <t>Faclitiy 1 - Cleaning &amp; Grading</t>
  </si>
  <si>
    <t>Faclitiy 3 - Warehouse</t>
  </si>
  <si>
    <t xml:space="preserve">Faclitiy 4 - Custom Hiring </t>
  </si>
  <si>
    <t>Faclitiy 5 - Agri Input Centre</t>
  </si>
  <si>
    <t>Facility 6 - Processing Unit - Horti Commodity</t>
  </si>
  <si>
    <t>Total Revenue</t>
  </si>
  <si>
    <t>Variable Cost</t>
  </si>
  <si>
    <t>Total Variable Cost</t>
  </si>
  <si>
    <t>Fixed Cost</t>
  </si>
  <si>
    <t>Admin Expenses</t>
  </si>
  <si>
    <t>Total Fixed Cost</t>
  </si>
  <si>
    <t>Total Cost</t>
  </si>
  <si>
    <t>Profit Before Depreciation ,Interest and Tax</t>
  </si>
  <si>
    <t>Amortization</t>
  </si>
  <si>
    <t>Profit Before Interest and Tax</t>
  </si>
  <si>
    <t>Interest on Term loan</t>
  </si>
  <si>
    <t>Profit Before Tax</t>
  </si>
  <si>
    <t>Less. Tax</t>
  </si>
  <si>
    <t>Profit After Tax</t>
  </si>
  <si>
    <t>Cumuilative Profit</t>
  </si>
  <si>
    <t>Projected Consolidated Profit and Loss account is to give a projection of how much money you will bring in by selling products or services and how much profit you will make from these sales.</t>
  </si>
  <si>
    <t>7.1 Balancesheet  for the Project</t>
  </si>
  <si>
    <t>ASSETS</t>
  </si>
  <si>
    <t>Current Assets</t>
  </si>
  <si>
    <t>Cash and Bank Balance</t>
  </si>
  <si>
    <t>Accounts Receivables</t>
  </si>
  <si>
    <t>Other Current Assets</t>
  </si>
  <si>
    <t>Total Current Assets</t>
  </si>
  <si>
    <t>Gross Fixed Assets</t>
  </si>
  <si>
    <t>Less: Depriciation</t>
  </si>
  <si>
    <t>Preliminary &amp; Pre- operative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</si>
  <si>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</si>
  <si>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</si>
  <si>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</si>
  <si>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</si>
  <si>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</si>
  <si>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</si>
  <si>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</si>
  <si>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</si>
  <si>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</si>
  <si>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</si>
  <si>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</si>
  <si>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Smart Grant -in-Aid</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</si>
  <si>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</si>
  <si>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</si>
  <si>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</si>
  <si>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</si>
  <si>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</si>
  <si>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</si>
  <si>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</si>
  <si>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</si>
  <si>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</si>
  <si>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</si>
  <si>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8.1 Cash Flow Statement for the Project</t>
  </si>
  <si>
    <t xml:space="preserve">Sr. </t>
  </si>
  <si>
    <t>Operating Profit</t>
  </si>
  <si>
    <t>Total Revnue</t>
  </si>
  <si>
    <t>Equity/ Share capital</t>
  </si>
  <si>
    <t>Reivestment</t>
  </si>
  <si>
    <t>Long Term Loan</t>
  </si>
  <si>
    <t>Short Term Loan</t>
  </si>
  <si>
    <t>Sub Total (A)</t>
  </si>
  <si>
    <t>Cash Outflow (Rs.)</t>
  </si>
  <si>
    <t>Capital Expenditure</t>
  </si>
  <si>
    <t>a</t>
  </si>
  <si>
    <t>b</t>
  </si>
  <si>
    <t>c</t>
  </si>
  <si>
    <t>Furniture &amp; Fixture</t>
  </si>
  <si>
    <t>d</t>
  </si>
  <si>
    <t>e</t>
  </si>
  <si>
    <t>f</t>
  </si>
  <si>
    <t>Premilinary Expenses</t>
  </si>
  <si>
    <t>Operational Expenditure</t>
  </si>
  <si>
    <t>Loan Repayment</t>
  </si>
  <si>
    <t>LTL - Principal</t>
  </si>
  <si>
    <t>LTL - Interest</t>
  </si>
  <si>
    <t>STL - Principal</t>
  </si>
  <si>
    <t>STL - Interest</t>
  </si>
  <si>
    <t>Tax</t>
  </si>
  <si>
    <t>Sub Total (B)</t>
  </si>
  <si>
    <t>Net Cash Flow (A-B)</t>
  </si>
  <si>
    <t>Opening Cash and Bank</t>
  </si>
  <si>
    <t>Cumulative Cash Balance</t>
  </si>
  <si>
    <t>A projected cash flow statement is used to evaluate cash inflows and outflows to deter. mine when, how much, and for how long cash deficits or surpluses will exist for a farm business during an upcoming time period. </t>
  </si>
  <si>
    <t>9.1 Internal Rate of Return</t>
  </si>
  <si>
    <t xml:space="preserve">Particular </t>
  </si>
  <si>
    <t>Y0</t>
  </si>
  <si>
    <t>Profit after Tax &amp; Diivdend</t>
  </si>
  <si>
    <r>
      <rPr>
        <b/>
        <sz val="11"/>
        <color rgb="FF000000"/>
        <rFont val="Times New Roman"/>
        <family val="1"/>
      </rPr>
      <t>Add</t>
    </r>
    <r>
      <rPr>
        <sz val="11"/>
        <color rgb="FF000000"/>
        <rFont val="Times New Roman"/>
        <family val="1"/>
      </rPr>
      <t>: Deprication</t>
    </r>
  </si>
  <si>
    <t>Add: Preliminary expense written off</t>
  </si>
  <si>
    <t xml:space="preserve">Net Cash Accrual (A)      </t>
  </si>
  <si>
    <t>Initial Investment/ Net Cash Accrual</t>
  </si>
  <si>
    <t>IRR</t>
  </si>
  <si>
    <t xml:space="preserve">Present Value Equivalent </t>
  </si>
  <si>
    <t>Presnt Value of Future Inflows</t>
  </si>
  <si>
    <t>Operating Net Cash Inflow</t>
  </si>
  <si>
    <t>Present Capital Outflow</t>
  </si>
  <si>
    <t>The internal rate of return (IRR) is a ratio used in financial analysis to estimate the profitability of potential investments. IRR is a discount rate that makes the net present value (NPV) of all cash flows equal to zero in a discounted cash flow analysis.</t>
  </si>
  <si>
    <t>9.2 Break even Point</t>
  </si>
  <si>
    <t>Gross Receipts</t>
  </si>
  <si>
    <t>Total Receipts</t>
  </si>
  <si>
    <t>Total Variable Exp</t>
  </si>
  <si>
    <t>Contribution</t>
  </si>
  <si>
    <t>Total Fixed exp</t>
  </si>
  <si>
    <t>BEP</t>
  </si>
  <si>
    <t>Average BEP</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</si>
  <si>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</si>
  <si>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9.3 Net Presnt Value</t>
  </si>
  <si>
    <t>Profit after Tax &amp; Dividend</t>
  </si>
  <si>
    <t>Add: Deprication</t>
  </si>
  <si>
    <t>Add. Preliminary exp Written off</t>
  </si>
  <si>
    <t>PV Factor @ 10 %</t>
  </si>
  <si>
    <t>Disc Cash Flow</t>
  </si>
  <si>
    <t>Total Discounted Cash Flows</t>
  </si>
  <si>
    <t>Present Value of Outflow</t>
  </si>
  <si>
    <t>NPV</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</si>
  <si>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</si>
  <si>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9.4 Return On Investments</t>
  </si>
  <si>
    <t>Net Profit</t>
  </si>
  <si>
    <t>Average net profit</t>
  </si>
  <si>
    <t>Total Project cost</t>
  </si>
  <si>
    <t>ROI</t>
  </si>
  <si>
    <t>Return on investment (ROI) is a performance measure used to evaluate the efficiency or profitability of an investment</t>
  </si>
  <si>
    <t>9.5 Payback Period (In years) - Project</t>
  </si>
  <si>
    <t>Initial Investment</t>
  </si>
  <si>
    <t>Cashflow - Initial Investment</t>
  </si>
  <si>
    <t>Payback period (in years) - Project</t>
  </si>
  <si>
    <t>The payback period refers to the amount of time it takes to recover the cost of an investment </t>
  </si>
  <si>
    <t>9.6 Debt Service Covergae Ratio (DSCR)</t>
  </si>
  <si>
    <t>Net Operating Income</t>
  </si>
  <si>
    <t>Add: Depreciation</t>
  </si>
  <si>
    <t>Add: Amortization</t>
  </si>
  <si>
    <t>Total Annual EMI</t>
  </si>
  <si>
    <t>Debt Service Coverage  Ratio (DCSR)</t>
  </si>
  <si>
    <t xml:space="preserve">Avergae DSCR </t>
  </si>
  <si>
    <t>the debt-service coverage ratio (DSCR) is a measurement of a firm's available cash flow to pay current debt obligations. The DSCR shows investors whether a company has enough income to pay its debts.</t>
  </si>
  <si>
    <t>9.7 Sensitivity Analysis</t>
  </si>
  <si>
    <t>Quantity Variation (+5%)</t>
  </si>
  <si>
    <t>Quantity Variance</t>
  </si>
  <si>
    <t>Cost Variance</t>
  </si>
  <si>
    <t>Total Income</t>
  </si>
  <si>
    <t>Expenditure</t>
  </si>
  <si>
    <t>Fixed Cost (Excl. of Depreciation, Amortization and Interest)</t>
  </si>
  <si>
    <t>Total Operational Expenses</t>
  </si>
  <si>
    <t>Net Income</t>
  </si>
  <si>
    <t>Cost Variation (+5%)</t>
  </si>
  <si>
    <t>Quantity Variation (-5%)</t>
  </si>
  <si>
    <t>Cost Variation (-5%)</t>
  </si>
  <si>
    <t>Sensitivity analysis is a financial model that determines how target variables are affected based on changes in Quantity or cost variance known as input variables.Here it is assume 5% (+,-) while calculating sensitivity analysis</t>
  </si>
  <si>
    <t>Grains Crops and  Production Details</t>
  </si>
  <si>
    <t>10.1 Details of members and non- members</t>
  </si>
  <si>
    <t>Total No.of Members Cultivating Grain Crops</t>
  </si>
  <si>
    <t>Total No.of Non- members Cultivating Grain Crops</t>
  </si>
  <si>
    <t>Average Land Holding  per Member (Acres)</t>
  </si>
  <si>
    <t>Total Cultivated Land under grain Crop(Acres)</t>
  </si>
  <si>
    <t>Input</t>
  </si>
  <si>
    <t>total</t>
  </si>
  <si>
    <t>%</t>
  </si>
  <si>
    <t xml:space="preserve">10.2 Statement Showing Area,production,productivity and marketable Surplus of Crops </t>
  </si>
  <si>
    <t>Season</t>
  </si>
  <si>
    <t>Crop</t>
  </si>
  <si>
    <t>Cultivation In (%)</t>
  </si>
  <si>
    <t>Total Land under Cultivaion ( In Acres)</t>
  </si>
  <si>
    <t>Yield/Acres  (In Quintals)</t>
  </si>
  <si>
    <t>Total Production (In Quintals)</t>
  </si>
  <si>
    <t>Consumption in (%)</t>
  </si>
  <si>
    <t>Marketable Surplus ( In Quintals)</t>
  </si>
  <si>
    <t>Kharif</t>
  </si>
  <si>
    <t>Soybean</t>
  </si>
  <si>
    <t>Red Gram/Tur</t>
  </si>
  <si>
    <t>Paddy/Rice</t>
  </si>
  <si>
    <t>Green Gram/ Moong</t>
  </si>
  <si>
    <t>Maize</t>
  </si>
  <si>
    <t>Black Gram/Udid</t>
  </si>
  <si>
    <t>Bajra</t>
  </si>
  <si>
    <t>Jawar</t>
  </si>
  <si>
    <t>Sunflower</t>
  </si>
  <si>
    <t>Area Under Rabbi Cultivation ( In Acres)</t>
  </si>
  <si>
    <t>Rabbi</t>
  </si>
  <si>
    <t>Wheat</t>
  </si>
  <si>
    <t>Bengal Gram/Channa</t>
  </si>
  <si>
    <t>Safflower</t>
  </si>
  <si>
    <t>Area Under Summer Cultivation ( In Acres)</t>
  </si>
  <si>
    <t>Summer</t>
  </si>
  <si>
    <t>Groundnut</t>
  </si>
  <si>
    <t xml:space="preserve">Note- Please note the crops/fruits/vegetable grown in the FPC catchement which has marketable Surplus </t>
  </si>
  <si>
    <t>10.4 Quantity of Marketable Surplus Produce Considered for Processing Business</t>
  </si>
  <si>
    <t>10.5 Crop-wise Area Considered for Agri Input Service Centre</t>
  </si>
  <si>
    <t>Assumptions:</t>
  </si>
  <si>
    <t>10% of total produce of the cluster will be Process in first year and it will increase everyear year by 5 %</t>
  </si>
  <si>
    <t xml:space="preserve">65% of total land of members is considered for Agri input service centre business </t>
  </si>
  <si>
    <t>Fruit  &amp; Vegetables Crop Production Details</t>
  </si>
  <si>
    <t>11.1 Details of members and non- members</t>
  </si>
  <si>
    <t>Total No.of Members  Cultivating F &amp; V</t>
  </si>
  <si>
    <t>Total No.of Non-members  Cultivating F &amp; V</t>
  </si>
  <si>
    <t>Average Land Holding per member(Acres)</t>
  </si>
  <si>
    <t>Total Cultivated Land Under F &amp; V (Acres)</t>
  </si>
  <si>
    <t xml:space="preserve">11.2 Statement Showing Area,production,productivity and marketable Surplus of Crops </t>
  </si>
  <si>
    <t>Onion</t>
  </si>
  <si>
    <t>Tomato</t>
  </si>
  <si>
    <t>Okra</t>
  </si>
  <si>
    <t>Chilli</t>
  </si>
  <si>
    <t>Potato</t>
  </si>
  <si>
    <t>Area Under Vegetables in Rabbi Season ( In Acres)</t>
  </si>
  <si>
    <t>Brinjal</t>
  </si>
  <si>
    <t>Area Under Vegetables in Summer Season ( In Acres)</t>
  </si>
  <si>
    <t>Area Under Fruit Crops ( In Acres)</t>
  </si>
  <si>
    <t>Custard Apple</t>
  </si>
  <si>
    <t>Guava</t>
  </si>
  <si>
    <t>Citrus</t>
  </si>
  <si>
    <t>11.3 Quantity of Marketable Surplus Produce Considered for Trading Business</t>
  </si>
  <si>
    <t>11.4 Quantity of Marketable Surplus Produce Considered for Processing Business</t>
  </si>
  <si>
    <t>11.5 Crop-wise Area Considered for Agri Input Service Centre</t>
  </si>
  <si>
    <t>35% of total produce of the cluster will be trade in first year and it will increase everyear year by 5 %</t>
  </si>
  <si>
    <t>5% of total produce of the cluster will be Process in first year and it will increase everyear year by 5 %</t>
  </si>
  <si>
    <t>12.1 Producers/ Capacity Utilization</t>
  </si>
  <si>
    <t>Tentative Wastage Percentage</t>
  </si>
  <si>
    <t>Quinatal/Hour</t>
  </si>
  <si>
    <t>Commodity</t>
  </si>
  <si>
    <t>Percentage</t>
  </si>
  <si>
    <t>No. of Hours</t>
  </si>
  <si>
    <t>Grains</t>
  </si>
  <si>
    <t>Fruit and Vegetables</t>
  </si>
  <si>
    <t>No.of Working Days</t>
  </si>
  <si>
    <t>No.of Operation Days</t>
  </si>
  <si>
    <t>Total Grains Quantity to be Processed</t>
  </si>
  <si>
    <t>Total F &amp; V Quantity to be Processed</t>
  </si>
  <si>
    <t xml:space="preserve">Job Work for Grains </t>
  </si>
  <si>
    <t>Job Work (50%)</t>
  </si>
  <si>
    <t>Quantity for sale (50%)</t>
  </si>
  <si>
    <t>Output</t>
  </si>
  <si>
    <t>Quintals</t>
  </si>
  <si>
    <t>Job Work Charges</t>
  </si>
  <si>
    <t>Expenses</t>
  </si>
  <si>
    <t>Daily Lobour</t>
  </si>
  <si>
    <t>Electricity Charges</t>
  </si>
  <si>
    <t>Gunny Bags/100 Kg</t>
  </si>
  <si>
    <t>Transporation Cost/100 Kg</t>
  </si>
  <si>
    <t>Add: Opening Stock</t>
  </si>
  <si>
    <t>Less: Closing Stock</t>
  </si>
  <si>
    <t>Machine Operator</t>
  </si>
  <si>
    <t>Total Expenses</t>
  </si>
  <si>
    <t>Operaing Income</t>
  </si>
  <si>
    <t>1. Inflation is assumed to be 5% anually.</t>
  </si>
  <si>
    <t>This sheet provide details capacity utilization of machines and also sale, expenses and operating profit of trading activity</t>
  </si>
  <si>
    <t>Revenue and cost is related to this facility only</t>
  </si>
  <si>
    <t>Common expenditure such as admin, depreciation and amortization not considered.</t>
  </si>
  <si>
    <t>Inflation is assumed to be 5% anually.</t>
  </si>
  <si>
    <t>13.1 Producers/ Capacity Utilization</t>
  </si>
  <si>
    <t>Qtls P Hour</t>
  </si>
  <si>
    <t>No. of Operation Days</t>
  </si>
  <si>
    <t>Total Quantity to be Processed</t>
  </si>
  <si>
    <t>Quanity for Processing and Trading for PC</t>
  </si>
  <si>
    <t>Output (KG)</t>
  </si>
  <si>
    <t>Dal (80%)</t>
  </si>
  <si>
    <t>Husk and Powder</t>
  </si>
  <si>
    <t>Packaging (In Kg)</t>
  </si>
  <si>
    <t>Pulses</t>
  </si>
  <si>
    <t>50 Kg</t>
  </si>
  <si>
    <t xml:space="preserve">Black Gram </t>
  </si>
  <si>
    <t>Kg</t>
  </si>
  <si>
    <t>Red gram</t>
  </si>
  <si>
    <t>Black gram</t>
  </si>
  <si>
    <t>Oil (Liters)</t>
  </si>
  <si>
    <t xml:space="preserve">Daily Labour </t>
  </si>
  <si>
    <t>Loading/Unloading Charges</t>
  </si>
  <si>
    <t>packaging Exp</t>
  </si>
  <si>
    <t>Transportation Charges</t>
  </si>
  <si>
    <t>Total expenses</t>
  </si>
  <si>
    <t>Facility 3 - Warehouse</t>
  </si>
  <si>
    <t>14.1 Capacity Utilization</t>
  </si>
  <si>
    <t>MT</t>
  </si>
  <si>
    <t>No.of Month</t>
  </si>
  <si>
    <t>Capacity Utilisation</t>
  </si>
  <si>
    <t>Total Quantity Stored per Annum</t>
  </si>
  <si>
    <t>14.2 Facility 3 - Profit and loss of Warehouse</t>
  </si>
  <si>
    <t>Dunnage</t>
  </si>
  <si>
    <t>Fumigation</t>
  </si>
  <si>
    <t>Eletricity</t>
  </si>
  <si>
    <t>Warehouse Manager</t>
  </si>
  <si>
    <t>Opperating profit</t>
  </si>
  <si>
    <t>Facility 4 - Custom Hiring</t>
  </si>
  <si>
    <t>15.1 Capacity Utlization</t>
  </si>
  <si>
    <t>Custom Hiring Equipment</t>
  </si>
  <si>
    <t>No.of Equipment</t>
  </si>
  <si>
    <t>Working Days</t>
  </si>
  <si>
    <t>No.of Hours in day</t>
  </si>
  <si>
    <t>Total Hours in a year</t>
  </si>
  <si>
    <t>Required Hrs/Acre</t>
  </si>
  <si>
    <t xml:space="preserve">Total Acres </t>
  </si>
  <si>
    <t>No.of Liters Diesel Required/acre</t>
  </si>
  <si>
    <t xml:space="preserve">Total no.of Liters required </t>
  </si>
  <si>
    <t>Service Charges/Acre (Amount (Rs.)</t>
  </si>
  <si>
    <t>Labour Requirement</t>
  </si>
  <si>
    <t>Total No. of Days Labour Reuired</t>
  </si>
  <si>
    <t>Double Plough</t>
  </si>
  <si>
    <t>Cultivator</t>
  </si>
  <si>
    <t>Rotavator</t>
  </si>
  <si>
    <t>BBF Seed Sowing Machine</t>
  </si>
  <si>
    <t>Mobile Threshing</t>
  </si>
  <si>
    <t>15.2 Facility 4 - Profit and loss of Custom Hiring</t>
  </si>
  <si>
    <t xml:space="preserve">Custom Hiring Charges </t>
  </si>
  <si>
    <t>Variable Expenses</t>
  </si>
  <si>
    <t>Diesel</t>
  </si>
  <si>
    <t>Litres</t>
  </si>
  <si>
    <t>Daily Labour</t>
  </si>
  <si>
    <t>No. of Days</t>
  </si>
  <si>
    <t>Driver</t>
  </si>
  <si>
    <t>Operating Income</t>
  </si>
  <si>
    <t xml:space="preserve">This sheet provide details of sale, expenses and operating profit of custom hiring activity </t>
  </si>
  <si>
    <t>Facility 5 - Agri Input</t>
  </si>
  <si>
    <t>Area under crop (In Acres)</t>
  </si>
  <si>
    <t>Kharif Crops</t>
  </si>
  <si>
    <t>Rabi Crop</t>
  </si>
  <si>
    <t>Requirement of Input material</t>
  </si>
  <si>
    <t>Seeds</t>
  </si>
  <si>
    <t>Fertilizers</t>
  </si>
  <si>
    <t>SSP</t>
  </si>
  <si>
    <t>Urea</t>
  </si>
  <si>
    <t>DAP</t>
  </si>
  <si>
    <t>Pesticide</t>
  </si>
  <si>
    <t>Dupont Coragen</t>
  </si>
  <si>
    <t>Confidor Boyer</t>
  </si>
  <si>
    <t>Facility 5 - Profit and loss of Agri Input</t>
  </si>
  <si>
    <t>Seeds (Rate/KG)</t>
  </si>
  <si>
    <t>Fertilizer(Rate/KG)</t>
  </si>
  <si>
    <t>Loading &amp; Unloading</t>
  </si>
  <si>
    <t>Transportation Cost</t>
  </si>
  <si>
    <t>Rent</t>
  </si>
  <si>
    <t>Agri Input Center Manager</t>
  </si>
  <si>
    <t>Support Staff</t>
  </si>
  <si>
    <t>Electricty Charges</t>
  </si>
  <si>
    <t>Operating cost</t>
  </si>
  <si>
    <t xml:space="preserve">This sheet provide details of sale, expenses and operating profit of agri input activity </t>
  </si>
  <si>
    <t xml:space="preserve">Facility 6 - F &amp; V Processing Unit </t>
  </si>
  <si>
    <t>17.1 Producer/Capacity Utlization</t>
  </si>
  <si>
    <t>Pomegranate Arils</t>
  </si>
  <si>
    <t>Pomegranate Juice</t>
  </si>
  <si>
    <t>Pomegranate Powder</t>
  </si>
  <si>
    <t>Pomegranate Arils 1 Kg</t>
  </si>
  <si>
    <t>Pomegranate Juice 1 Ltrs</t>
  </si>
  <si>
    <t>Pomegranate Peel Powder1 Kg</t>
  </si>
  <si>
    <t>17.2 Activity 6 - Profit and loss of F &amp; V Processing Unit</t>
  </si>
  <si>
    <t>Quiantals</t>
  </si>
  <si>
    <t>Ltrs</t>
  </si>
  <si>
    <t>Pomegatnte</t>
  </si>
  <si>
    <t>Other Consumbales</t>
  </si>
  <si>
    <t>Standard Conventional Godown</t>
  </si>
  <si>
    <t>500 MT</t>
  </si>
  <si>
    <t>Cleaning/Grading &amp; Brown Rice</t>
  </si>
  <si>
    <t>F &amp; V Processing Machinery</t>
  </si>
  <si>
    <t>20 % of Working Capital will be financed by the company and balance 80% from bank finance at 12% rate of interest</t>
  </si>
  <si>
    <t>Packaging Exp</t>
  </si>
  <si>
    <t>13.2 Facility 2 - Profit and loss of Grain Processing Unit -</t>
  </si>
  <si>
    <t>Company has to give credit for sale at 30 Days</t>
  </si>
  <si>
    <t>Processing Unit - Brown Rice</t>
  </si>
  <si>
    <t>Working Capital per Cycle</t>
  </si>
  <si>
    <t>Computer Monitor</t>
  </si>
  <si>
    <t>Camera 8 CH DVR</t>
  </si>
  <si>
    <t>Installation Charges</t>
  </si>
  <si>
    <t>Preliminery Expenses</t>
  </si>
  <si>
    <t>Transport Vehical  (Refer van and other)</t>
  </si>
  <si>
    <t>Rent Charges on Vehicle</t>
  </si>
  <si>
    <t>IT Infrastructure</t>
  </si>
  <si>
    <t>Facility 2 - Grain Processing Unit</t>
  </si>
  <si>
    <t>This sheet provide details capacity utilization of machines and also sale, expenses and operating profit of Grain Processing activity</t>
  </si>
  <si>
    <t>This sheet provide details capacity utilization of machines and also sale, expenses and operating profit of grain processing activity</t>
  </si>
  <si>
    <t xml:space="preserve">Business Plan Financial Calculator </t>
  </si>
  <si>
    <t>Grain production details   (Marketable surplus)</t>
  </si>
  <si>
    <t>Standard Conventional Machine Room</t>
  </si>
  <si>
    <t xml:space="preserve">Processing Unit </t>
  </si>
  <si>
    <t>All Grains</t>
  </si>
  <si>
    <t>Storage Charges</t>
  </si>
  <si>
    <t>446 Sq. Mtr</t>
  </si>
  <si>
    <t>LT Transformer</t>
  </si>
  <si>
    <t>Interest on TL</t>
  </si>
  <si>
    <t>Fully Automated Rice Mill Machines</t>
  </si>
  <si>
    <t>4 TPH</t>
  </si>
  <si>
    <t>200 KVA</t>
  </si>
  <si>
    <t>30% of total produce of the cluster will be trade in first year and it will increase everyear year by 3 %</t>
  </si>
  <si>
    <t>Job Work (0%)</t>
  </si>
  <si>
    <t>Quantity for sale (100%)</t>
  </si>
  <si>
    <t>Husk and Powder (30%)</t>
  </si>
  <si>
    <t>Broken Rice</t>
  </si>
  <si>
    <t>Rice (65%)</t>
  </si>
  <si>
    <t>Broken Rice (5%)</t>
  </si>
  <si>
    <t>Rice</t>
  </si>
  <si>
    <t>Paddy</t>
  </si>
  <si>
    <t>10.3 Quantity of Marketable Surplus Produce Considered for Cleaning &amp; Grading Business</t>
  </si>
  <si>
    <t>12.2 Facility 1 - Profit and loss of Cleaning &amp; Grading</t>
  </si>
  <si>
    <t>Facility 3 - Cleaning &amp; Grading Unit</t>
  </si>
  <si>
    <t>Faclitiy 2 - Processing Unit Paddy &amp; Rice</t>
  </si>
  <si>
    <t>Facility-1 / Business activity -Cleaning &amp; Grading</t>
  </si>
  <si>
    <t>Quanity for Cleaning &amp; Grading of Paddy</t>
  </si>
</sst>
</file>

<file path=xl/styles.xml><?xml version="1.0" encoding="utf-8"?>
<styleSheet xmlns="http://schemas.openxmlformats.org/spreadsheetml/2006/main">
  <numFmts count="13">
    <numFmt numFmtId="43" formatCode="_(* #,##0.00_);_(* \(#,##0.00\);_(* &quot;-&quot;??_);_(@_)"/>
    <numFmt numFmtId="164" formatCode="_ * #,##0.00_ ;_ * \-#,##0.00_ ;_ * &quot;-&quot;??_ ;_ @_ "/>
    <numFmt numFmtId="165" formatCode="_(* #,##0_);_(* \(#,##0\);_(* &quot;-&quot;??_);_(@_)"/>
    <numFmt numFmtId="166" formatCode="_-* #,##0_-;\-* #,##0_-;_-* &quot;-&quot;??_-;_-@"/>
    <numFmt numFmtId="167" formatCode="_-* #,##0.00_-;\-* #,##0.00_-;_-* &quot;-&quot;??_-;_-@"/>
    <numFmt numFmtId="168" formatCode="#,##0_ ;[Red]\-#,##0\ "/>
    <numFmt numFmtId="169" formatCode="#,##0.00_ ;[Red]\-#,##0.00\ "/>
    <numFmt numFmtId="170" formatCode="&quot;Rs.&quot;\ #,##0.00;[Red]&quot;Rs.&quot;\ \-#,##0.00"/>
    <numFmt numFmtId="171" formatCode="0.0"/>
    <numFmt numFmtId="172" formatCode="_(* #,##0.0000_);_(* \(#,##0.0000\);_(* &quot;-&quot;??_);_(@_)"/>
    <numFmt numFmtId="173" formatCode="_ * #,##0_ ;_ * \-#,##0_ ;_ * &quot;-&quot;??_ ;_ @_ "/>
    <numFmt numFmtId="174" formatCode="_ * #,##0.0_ ;_ * \-#,##0.0_ ;_ * &quot;-&quot;??_ ;_ @_ "/>
    <numFmt numFmtId="175" formatCode="0.0%"/>
  </numFmts>
  <fonts count="65">
    <font>
      <sz val="11"/>
      <color rgb="FF000000"/>
      <name val="Calibri"/>
    </font>
    <font>
      <b/>
      <sz val="24"/>
      <color rgb="FF000000"/>
      <name val="Calibri"/>
      <family val="2"/>
    </font>
    <font>
      <sz val="11"/>
      <name val="Calibri"/>
      <family val="2"/>
    </font>
    <font>
      <b/>
      <u/>
      <sz val="18"/>
      <color rgb="FF000000"/>
      <name val="Calibri"/>
      <family val="2"/>
    </font>
    <font>
      <b/>
      <sz val="18"/>
      <color rgb="FF000000"/>
      <name val="Calibri"/>
      <family val="2"/>
    </font>
    <font>
      <b/>
      <sz val="11"/>
      <color rgb="FF000000"/>
      <name val="Calibri"/>
      <family val="2"/>
    </font>
    <font>
      <b/>
      <sz val="11"/>
      <color rgb="FFC00000"/>
      <name val="Calibri"/>
      <family val="2"/>
    </font>
    <font>
      <b/>
      <sz val="16"/>
      <color rgb="FF000000"/>
      <name val="Calibri"/>
      <family val="2"/>
    </font>
    <font>
      <b/>
      <sz val="14"/>
      <color rgb="FF000000"/>
      <name val="Times New Roman"/>
      <family val="1"/>
    </font>
    <font>
      <b/>
      <sz val="10"/>
      <color rgb="FFFFFFFF"/>
      <name val="Times New Roman"/>
      <family val="1"/>
    </font>
    <font>
      <sz val="10"/>
      <color rgb="FF000000"/>
      <name val="Times New Roman"/>
      <family val="1"/>
    </font>
    <font>
      <sz val="10"/>
      <color rgb="FF000000"/>
      <name val="Calibri"/>
      <family val="2"/>
    </font>
    <font>
      <b/>
      <sz val="10"/>
      <color rgb="FF000000"/>
      <name val="Times New Roman"/>
      <family val="1"/>
    </font>
    <font>
      <b/>
      <sz val="8"/>
      <name val="Inherit"/>
    </font>
    <font>
      <sz val="11"/>
      <color rgb="FF000000"/>
      <name val="Garamond"/>
      <family val="1"/>
    </font>
    <font>
      <b/>
      <sz val="11"/>
      <color rgb="FFFFFFFF"/>
      <name val="Times New Roman"/>
      <family val="1"/>
    </font>
    <font>
      <sz val="11"/>
      <name val="Times New Roman"/>
      <family val="1"/>
    </font>
    <font>
      <sz val="11"/>
      <color rgb="FF000000"/>
      <name val="Times New Roman"/>
      <family val="1"/>
    </font>
    <font>
      <b/>
      <sz val="11"/>
      <color rgb="FF000000"/>
      <name val="Times New Roman"/>
      <family val="1"/>
    </font>
    <font>
      <b/>
      <sz val="11"/>
      <color rgb="FFFFFFFF"/>
      <name val="Garamond"/>
      <family val="1"/>
    </font>
    <font>
      <b/>
      <sz val="11"/>
      <color rgb="FF000000"/>
      <name val="Garamond"/>
      <family val="1"/>
    </font>
    <font>
      <b/>
      <sz val="11"/>
      <color rgb="FF202124"/>
      <name val="Garamond"/>
      <family val="1"/>
    </font>
    <font>
      <b/>
      <sz val="11"/>
      <name val="Calibri"/>
      <family val="2"/>
    </font>
    <font>
      <b/>
      <sz val="14"/>
      <name val="Times New Roman"/>
      <family val="1"/>
    </font>
    <font>
      <b/>
      <u/>
      <sz val="11"/>
      <color rgb="FF000000"/>
      <name val="Times New Roman"/>
      <family val="1"/>
    </font>
    <font>
      <b/>
      <i/>
      <sz val="11"/>
      <color rgb="FF000000"/>
      <name val="Times New Roman"/>
      <family val="1"/>
    </font>
    <font>
      <b/>
      <sz val="11"/>
      <name val="Times New Roman"/>
      <family val="1"/>
    </font>
    <font>
      <sz val="11"/>
      <name val="Calibri"/>
      <family val="2"/>
    </font>
    <font>
      <b/>
      <u/>
      <sz val="11"/>
      <color rgb="FF0000FF"/>
      <name val="Calibri"/>
      <family val="2"/>
    </font>
    <font>
      <sz val="11"/>
      <color rgb="FFFFFFFF"/>
      <name val="Times New Roman"/>
      <family val="1"/>
    </font>
    <font>
      <b/>
      <sz val="8"/>
      <color rgb="FF202124"/>
      <name val="Arial"/>
      <family val="2"/>
    </font>
    <font>
      <b/>
      <sz val="9"/>
      <name val="Arial"/>
      <family val="2"/>
    </font>
    <font>
      <b/>
      <sz val="11"/>
      <color rgb="FF272727"/>
      <name val="Garamond"/>
      <family val="1"/>
    </font>
    <font>
      <sz val="10"/>
      <color rgb="FF424142"/>
      <name val="Georgia"/>
      <family val="1"/>
    </font>
    <font>
      <i/>
      <sz val="11"/>
      <color rgb="FFFF0000"/>
      <name val="Calibri"/>
      <family val="2"/>
    </font>
    <font>
      <b/>
      <sz val="11"/>
      <color rgb="FF003366"/>
      <name val="Times New Roman"/>
      <family val="1"/>
    </font>
    <font>
      <b/>
      <u/>
      <sz val="11"/>
      <name val="Times New Roman"/>
      <family val="1"/>
    </font>
    <font>
      <sz val="11"/>
      <color rgb="FF008000"/>
      <name val="Times New Roman"/>
      <family val="1"/>
    </font>
    <font>
      <b/>
      <u/>
      <sz val="11"/>
      <color rgb="FF993300"/>
      <name val="Times New Roman"/>
      <family val="1"/>
    </font>
    <font>
      <sz val="11"/>
      <color rgb="FF993300"/>
      <name val="Times New Roman"/>
      <family val="1"/>
    </font>
    <font>
      <b/>
      <sz val="11"/>
      <color rgb="FF993300"/>
      <name val="Times New Roman"/>
      <family val="1"/>
    </font>
    <font>
      <b/>
      <sz val="11"/>
      <color rgb="FF222222"/>
      <name val="Garamond"/>
      <family val="1"/>
    </font>
    <font>
      <sz val="13"/>
      <color rgb="FF000000"/>
      <name val="Times New Roman"/>
      <family val="1"/>
    </font>
    <font>
      <sz val="12"/>
      <color rgb="FFFFFFFF"/>
      <name val="Times New Roman"/>
      <family val="1"/>
    </font>
    <font>
      <sz val="12"/>
      <color rgb="FFFF0000"/>
      <name val="Times New Roman"/>
      <family val="1"/>
    </font>
    <font>
      <sz val="13"/>
      <name val="Times New Roman"/>
      <family val="1"/>
    </font>
    <font>
      <b/>
      <u/>
      <sz val="11"/>
      <color rgb="FF0000FF"/>
      <name val="Garamond"/>
      <family val="1"/>
    </font>
    <font>
      <b/>
      <sz val="11"/>
      <color rgb="FF202122"/>
      <name val="Garamond"/>
      <family val="1"/>
    </font>
    <font>
      <b/>
      <sz val="12"/>
      <color rgb="FFFFFFFF"/>
      <name val="Times New Roman"/>
      <family val="1"/>
    </font>
    <font>
      <sz val="12"/>
      <color rgb="FF000000"/>
      <name val="Times New Roman"/>
      <family val="1"/>
    </font>
    <font>
      <sz val="12"/>
      <name val="Times New Roman"/>
      <family val="1"/>
    </font>
    <font>
      <b/>
      <sz val="11"/>
      <color rgb="FF111111"/>
      <name val="Garamond"/>
      <family val="1"/>
    </font>
    <font>
      <b/>
      <sz val="11"/>
      <color rgb="FFFFFFFF"/>
      <name val="Calibri"/>
      <family val="2"/>
    </font>
    <font>
      <sz val="11"/>
      <color rgb="FFFFFFFF"/>
      <name val="Calibri"/>
      <family val="2"/>
    </font>
    <font>
      <sz val="11"/>
      <color rgb="FFC00000"/>
      <name val="Calibri"/>
      <family val="2"/>
    </font>
    <font>
      <b/>
      <sz val="9"/>
      <color rgb="FF000000"/>
      <name val="Times New Roman"/>
      <family val="1"/>
    </font>
    <font>
      <sz val="9"/>
      <color rgb="FF000000"/>
      <name val="Times New Roman"/>
      <family val="1"/>
    </font>
    <font>
      <sz val="9"/>
      <color rgb="FF000000"/>
      <name val="Calibri"/>
      <family val="2"/>
    </font>
    <font>
      <sz val="11"/>
      <color rgb="FF000000"/>
      <name val="Calibri"/>
      <family val="2"/>
    </font>
    <font>
      <b/>
      <sz val="11"/>
      <color rgb="FF000000"/>
      <name val="Times New Roman"/>
      <family val="1"/>
    </font>
    <font>
      <sz val="11"/>
      <color rgb="FF000000"/>
      <name val="Garamond"/>
      <family val="1"/>
    </font>
    <font>
      <sz val="11"/>
      <color rgb="FF000000"/>
      <name val="Times New Roman"/>
      <family val="1"/>
    </font>
    <font>
      <sz val="11"/>
      <color rgb="FF000000"/>
      <name val="Calibri"/>
      <family val="2"/>
    </font>
    <font>
      <b/>
      <sz val="14"/>
      <color rgb="FF000000"/>
      <name val="Times New Roman"/>
      <family val="1"/>
    </font>
    <font>
      <b/>
      <sz val="11"/>
      <color rgb="FF000000"/>
      <name val="Calibri"/>
      <family val="2"/>
    </font>
  </fonts>
  <fills count="12">
    <fill>
      <patternFill patternType="none"/>
    </fill>
    <fill>
      <patternFill patternType="gray125"/>
    </fill>
    <fill>
      <patternFill patternType="solid">
        <fgColor rgb="FFFABF8F"/>
        <bgColor rgb="FFFABF8F"/>
      </patternFill>
    </fill>
    <fill>
      <patternFill patternType="solid">
        <fgColor rgb="FFB6DDE8"/>
        <bgColor rgb="FFB6DDE8"/>
      </patternFill>
    </fill>
    <fill>
      <patternFill patternType="solid">
        <fgColor rgb="FFD6E3BC"/>
        <bgColor rgb="FFD6E3BC"/>
      </patternFill>
    </fill>
    <fill>
      <patternFill patternType="solid">
        <fgColor rgb="FFFFFF00"/>
        <bgColor rgb="FFFFFF00"/>
      </patternFill>
    </fill>
    <fill>
      <patternFill patternType="solid">
        <fgColor rgb="FF92D050"/>
        <bgColor rgb="FF92D050"/>
      </patternFill>
    </fill>
    <fill>
      <patternFill patternType="solid">
        <fgColor rgb="FFF2DBDB"/>
        <bgColor rgb="FFF2DBDB"/>
      </patternFill>
    </fill>
    <fill>
      <patternFill patternType="solid">
        <fgColor rgb="FF494429"/>
        <bgColor rgb="FF494429"/>
      </patternFill>
    </fill>
    <fill>
      <patternFill patternType="solid">
        <fgColor rgb="FF333300"/>
        <bgColor rgb="FF333300"/>
      </patternFill>
    </fill>
    <fill>
      <patternFill patternType="solid">
        <fgColor rgb="FF00FFFF"/>
        <bgColor rgb="FF00FFFF"/>
      </patternFill>
    </fill>
    <fill>
      <patternFill patternType="solid">
        <fgColor rgb="FFFFFFFF"/>
        <bgColor rgb="FFFFFFFF"/>
      </patternFill>
    </fill>
  </fills>
  <borders count="37">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top/>
      <bottom/>
      <diagonal/>
    </border>
    <border>
      <left/>
      <right/>
      <top/>
      <bottom/>
      <diagonal/>
    </border>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diagonal/>
    </border>
    <border>
      <left style="thin">
        <color rgb="FF000000"/>
      </left>
      <right/>
      <top/>
      <bottom/>
      <diagonal/>
    </border>
    <border>
      <left/>
      <right style="medium">
        <color rgb="FF000000"/>
      </right>
      <top/>
      <bottom/>
      <diagonal/>
    </border>
    <border>
      <left/>
      <right/>
      <top/>
      <bottom style="thin">
        <color rgb="FF000000"/>
      </bottom>
      <diagonal/>
    </border>
    <border>
      <left/>
      <right/>
      <top/>
      <bottom style="thin">
        <color rgb="FF000000"/>
      </bottom>
      <diagonal/>
    </border>
    <border>
      <left style="thin">
        <color rgb="FF000000"/>
      </left>
      <right style="thin">
        <color rgb="FF000000"/>
      </right>
      <top/>
      <bottom/>
      <diagonal/>
    </border>
    <border>
      <left style="medium">
        <color rgb="FF000000"/>
      </left>
      <right/>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style="thin">
        <color rgb="FF000000"/>
      </left>
      <right/>
      <top/>
      <bottom style="thin">
        <color rgb="FF000000"/>
      </bottom>
      <diagonal/>
    </border>
  </borders>
  <cellStyleXfs count="4">
    <xf numFmtId="0" fontId="0" fillId="0" borderId="0"/>
    <xf numFmtId="164" fontId="58" fillId="0" borderId="0" applyFont="0" applyFill="0" applyBorder="0" applyAlignment="0" applyProtection="0"/>
    <xf numFmtId="0" fontId="58" fillId="0" borderId="23"/>
    <xf numFmtId="0" fontId="58" fillId="0" borderId="23"/>
  </cellStyleXfs>
  <cellXfs count="393">
    <xf numFmtId="0" fontId="0" fillId="0" borderId="0" xfId="0"/>
    <xf numFmtId="0" fontId="0" fillId="0" borderId="0" xfId="0" applyAlignment="1">
      <alignment vertical="center" wrapText="1"/>
    </xf>
    <xf numFmtId="0" fontId="0" fillId="5" borderId="5" xfId="0" applyFill="1" applyBorder="1" applyAlignment="1">
      <alignment vertical="center" wrapText="1"/>
    </xf>
    <xf numFmtId="0" fontId="0" fillId="6" borderId="5" xfId="0" applyFill="1" applyBorder="1" applyAlignment="1">
      <alignment vertical="center" wrapText="1"/>
    </xf>
    <xf numFmtId="0" fontId="5" fillId="0" borderId="6" xfId="0" applyFont="1" applyBorder="1" applyAlignment="1">
      <alignment vertical="center" wrapText="1"/>
    </xf>
    <xf numFmtId="0" fontId="5" fillId="7" borderId="6" xfId="0" applyFont="1" applyFill="1" applyBorder="1" applyAlignment="1">
      <alignment vertical="center" wrapText="1"/>
    </xf>
    <xf numFmtId="0" fontId="6" fillId="0" borderId="6" xfId="0" applyFont="1"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5" fillId="7" borderId="10" xfId="0" applyFont="1" applyFill="1" applyBorder="1" applyAlignment="1">
      <alignment vertical="center" wrapText="1"/>
    </xf>
    <xf numFmtId="0" fontId="0" fillId="0" borderId="6" xfId="0" applyBorder="1" applyAlignment="1">
      <alignment horizontal="center" vertical="center" wrapText="1"/>
    </xf>
    <xf numFmtId="0" fontId="9" fillId="8" borderId="6" xfId="0" applyFont="1" applyFill="1" applyBorder="1" applyAlignment="1">
      <alignment horizontal="center" vertical="center" wrapText="1"/>
    </xf>
    <xf numFmtId="0" fontId="9" fillId="8" borderId="11" xfId="0" applyFont="1" applyFill="1" applyBorder="1" applyAlignment="1">
      <alignment horizontal="center" vertical="center" wrapText="1"/>
    </xf>
    <xf numFmtId="0" fontId="10" fillId="0" borderId="6" xfId="0" applyFont="1" applyBorder="1" applyAlignment="1">
      <alignment horizontal="right" vertical="center" wrapText="1"/>
    </xf>
    <xf numFmtId="0" fontId="10" fillId="0" borderId="6" xfId="0" applyFont="1" applyBorder="1" applyAlignment="1">
      <alignment vertical="center" wrapText="1"/>
    </xf>
    <xf numFmtId="165" fontId="10" fillId="0" borderId="6" xfId="0" applyNumberFormat="1" applyFont="1" applyBorder="1" applyAlignment="1">
      <alignment vertical="center" wrapText="1"/>
    </xf>
    <xf numFmtId="9" fontId="11" fillId="6" borderId="6" xfId="0" applyNumberFormat="1" applyFont="1" applyFill="1" applyBorder="1"/>
    <xf numFmtId="165" fontId="11" fillId="0" borderId="6" xfId="0" applyNumberFormat="1" applyFont="1" applyBorder="1"/>
    <xf numFmtId="0" fontId="11" fillId="0" borderId="6" xfId="0" applyFont="1" applyBorder="1"/>
    <xf numFmtId="165" fontId="12" fillId="0" borderId="6" xfId="0" applyNumberFormat="1" applyFont="1" applyBorder="1" applyAlignment="1">
      <alignment horizontal="center" vertical="center" wrapText="1"/>
    </xf>
    <xf numFmtId="166" fontId="0" fillId="0" borderId="0" xfId="0" applyNumberFormat="1"/>
    <xf numFmtId="0" fontId="9" fillId="8" borderId="6" xfId="0" applyFont="1" applyFill="1" applyBorder="1" applyAlignment="1">
      <alignment vertical="center" wrapText="1"/>
    </xf>
    <xf numFmtId="9" fontId="10" fillId="0" borderId="6" xfId="0" applyNumberFormat="1" applyFont="1" applyBorder="1" applyAlignment="1">
      <alignment horizontal="right" vertical="center" wrapText="1"/>
    </xf>
    <xf numFmtId="166" fontId="10" fillId="0" borderId="6" xfId="0" applyNumberFormat="1" applyFont="1" applyBorder="1" applyAlignment="1">
      <alignment horizontal="right" vertical="center" wrapText="1"/>
    </xf>
    <xf numFmtId="9" fontId="10" fillId="6" borderId="6" xfId="0" applyNumberFormat="1" applyFont="1" applyFill="1" applyBorder="1" applyAlignment="1">
      <alignment horizontal="right" vertical="center" wrapText="1"/>
    </xf>
    <xf numFmtId="166" fontId="12" fillId="0" borderId="6" xfId="0" applyNumberFormat="1" applyFont="1" applyBorder="1" applyAlignment="1">
      <alignment horizontal="right" vertical="center" wrapText="1"/>
    </xf>
    <xf numFmtId="0" fontId="5" fillId="0" borderId="0" xfId="0" applyFont="1" applyAlignment="1">
      <alignment horizontal="center"/>
    </xf>
    <xf numFmtId="0" fontId="9" fillId="9" borderId="6" xfId="0" applyFont="1" applyFill="1" applyBorder="1" applyAlignment="1">
      <alignment vertical="center" wrapText="1"/>
    </xf>
    <xf numFmtId="0" fontId="9" fillId="9" borderId="6" xfId="0" applyFont="1" applyFill="1" applyBorder="1" applyAlignment="1">
      <alignment vertical="center"/>
    </xf>
    <xf numFmtId="0" fontId="9" fillId="9" borderId="6" xfId="0" applyFont="1" applyFill="1" applyBorder="1" applyAlignment="1">
      <alignment horizontal="center" vertical="center"/>
    </xf>
    <xf numFmtId="0" fontId="9" fillId="9" borderId="6" xfId="0" applyFont="1" applyFill="1" applyBorder="1" applyAlignment="1">
      <alignment horizontal="center" vertical="center" wrapText="1"/>
    </xf>
    <xf numFmtId="0" fontId="10" fillId="0" borderId="6" xfId="0" applyFont="1" applyBorder="1" applyAlignment="1">
      <alignment horizontal="center" vertical="center" wrapText="1"/>
    </xf>
    <xf numFmtId="10" fontId="10" fillId="0" borderId="6" xfId="0" applyNumberFormat="1" applyFont="1" applyBorder="1" applyAlignment="1">
      <alignment horizontal="center" vertical="center" wrapText="1"/>
    </xf>
    <xf numFmtId="0" fontId="10" fillId="0" borderId="6" xfId="0" applyFont="1" applyBorder="1" applyAlignment="1">
      <alignment horizontal="left" vertical="center" wrapText="1"/>
    </xf>
    <xf numFmtId="3" fontId="10" fillId="0" borderId="6" xfId="0" applyNumberFormat="1" applyFont="1" applyBorder="1" applyAlignment="1">
      <alignment horizontal="center" vertical="center" wrapText="1"/>
    </xf>
    <xf numFmtId="2" fontId="10" fillId="0" borderId="6" xfId="0" applyNumberFormat="1" applyFont="1" applyBorder="1" applyAlignment="1">
      <alignment horizontal="center" vertical="center" wrapText="1"/>
    </xf>
    <xf numFmtId="0" fontId="14" fillId="0" borderId="6" xfId="0" applyFont="1" applyBorder="1" applyAlignment="1">
      <alignment vertical="center" wrapText="1"/>
    </xf>
    <xf numFmtId="0" fontId="14" fillId="0" borderId="6" xfId="0" applyFont="1" applyBorder="1" applyAlignment="1">
      <alignment horizontal="center" vertical="center" wrapText="1"/>
    </xf>
    <xf numFmtId="0" fontId="15" fillId="8" borderId="6" xfId="0" applyFont="1" applyFill="1" applyBorder="1" applyAlignment="1">
      <alignment horizontal="center" vertical="center" wrapText="1"/>
    </xf>
    <xf numFmtId="0" fontId="16" fillId="5" borderId="6" xfId="0" applyFont="1" applyFill="1" applyBorder="1" applyAlignment="1">
      <alignment vertical="center" wrapText="1"/>
    </xf>
    <xf numFmtId="0" fontId="16" fillId="0" borderId="6" xfId="0" applyFont="1" applyBorder="1" applyAlignment="1">
      <alignment horizontal="left" vertical="center" wrapText="1"/>
    </xf>
    <xf numFmtId="0" fontId="16" fillId="0" borderId="6" xfId="0" applyFont="1" applyBorder="1" applyAlignment="1">
      <alignment horizontal="center" vertical="center" wrapText="1"/>
    </xf>
    <xf numFmtId="167" fontId="16" fillId="0" borderId="6" xfId="0" applyNumberFormat="1" applyFont="1" applyBorder="1" applyAlignment="1">
      <alignment horizontal="right" vertical="center" wrapText="1"/>
    </xf>
    <xf numFmtId="0" fontId="17" fillId="5" borderId="6" xfId="0" applyFont="1" applyFill="1" applyBorder="1" applyAlignment="1">
      <alignment vertical="center" wrapText="1"/>
    </xf>
    <xf numFmtId="165" fontId="16" fillId="5" borderId="6" xfId="0" applyNumberFormat="1" applyFont="1" applyFill="1" applyBorder="1" applyAlignment="1">
      <alignment horizontal="left" vertical="center" wrapText="1"/>
    </xf>
    <xf numFmtId="165" fontId="16" fillId="5" borderId="6" xfId="0" applyNumberFormat="1" applyFont="1" applyFill="1" applyBorder="1" applyAlignment="1">
      <alignment vertical="center" wrapText="1"/>
    </xf>
    <xf numFmtId="165" fontId="16" fillId="5" borderId="6" xfId="0" applyNumberFormat="1" applyFont="1" applyFill="1" applyBorder="1" applyAlignment="1">
      <alignment horizontal="right" vertical="center" wrapText="1"/>
    </xf>
    <xf numFmtId="166" fontId="18" fillId="0" borderId="6" xfId="0" applyNumberFormat="1" applyFont="1" applyBorder="1" applyAlignment="1">
      <alignment horizontal="right" vertical="center" wrapText="1"/>
    </xf>
    <xf numFmtId="0" fontId="0" fillId="0" borderId="0" xfId="0" applyAlignment="1">
      <alignment horizontal="center"/>
    </xf>
    <xf numFmtId="0" fontId="17" fillId="5" borderId="6" xfId="0" applyFont="1" applyFill="1" applyBorder="1" applyAlignment="1">
      <alignment horizontal="center" vertical="center" wrapText="1"/>
    </xf>
    <xf numFmtId="0" fontId="17" fillId="5" borderId="6" xfId="0" applyFont="1" applyFill="1" applyBorder="1"/>
    <xf numFmtId="166" fontId="17" fillId="5" borderId="6" xfId="0" applyNumberFormat="1" applyFont="1" applyFill="1" applyBorder="1" applyAlignment="1">
      <alignment horizontal="right" vertical="center" wrapText="1"/>
    </xf>
    <xf numFmtId="0" fontId="18" fillId="5" borderId="6" xfId="0" applyFont="1" applyFill="1" applyBorder="1" applyAlignment="1">
      <alignment horizontal="center" vertical="center" wrapText="1"/>
    </xf>
    <xf numFmtId="0" fontId="18" fillId="5" borderId="6" xfId="0" applyFont="1" applyFill="1" applyBorder="1" applyAlignment="1">
      <alignment vertical="center" wrapText="1"/>
    </xf>
    <xf numFmtId="165" fontId="18" fillId="5" borderId="6" xfId="0" applyNumberFormat="1" applyFont="1" applyFill="1" applyBorder="1" applyAlignment="1">
      <alignment horizontal="right" vertical="center" wrapText="1"/>
    </xf>
    <xf numFmtId="0" fontId="18" fillId="5" borderId="6" xfId="0" applyFont="1" applyFill="1" applyBorder="1"/>
    <xf numFmtId="166" fontId="18" fillId="5" borderId="6" xfId="0" applyNumberFormat="1" applyFont="1" applyFill="1" applyBorder="1" applyAlignment="1">
      <alignment horizontal="right" vertical="center" wrapText="1"/>
    </xf>
    <xf numFmtId="167" fontId="0" fillId="0" borderId="0" xfId="0" applyNumberFormat="1"/>
    <xf numFmtId="0" fontId="19" fillId="8" borderId="6" xfId="0" applyFont="1" applyFill="1" applyBorder="1" applyAlignment="1">
      <alignment vertical="center" wrapText="1"/>
    </xf>
    <xf numFmtId="0" fontId="19" fillId="8" borderId="6" xfId="0" applyFont="1" applyFill="1" applyBorder="1" applyAlignment="1">
      <alignment horizontal="center" vertical="center" wrapText="1"/>
    </xf>
    <xf numFmtId="0" fontId="14" fillId="5" borderId="6" xfId="0" applyFont="1" applyFill="1" applyBorder="1" applyAlignment="1">
      <alignment horizontal="center" vertical="center" wrapText="1"/>
    </xf>
    <xf numFmtId="0" fontId="14" fillId="5" borderId="6" xfId="0" applyFont="1" applyFill="1" applyBorder="1" applyAlignment="1">
      <alignment vertical="center" wrapText="1"/>
    </xf>
    <xf numFmtId="166" fontId="14" fillId="5" borderId="6" xfId="0" applyNumberFormat="1" applyFont="1" applyFill="1" applyBorder="1" applyAlignment="1">
      <alignment horizontal="center" vertical="center" wrapText="1"/>
    </xf>
    <xf numFmtId="166" fontId="14" fillId="5" borderId="6" xfId="0" applyNumberFormat="1" applyFont="1" applyFill="1" applyBorder="1" applyAlignment="1">
      <alignment horizontal="right" vertical="center" wrapText="1"/>
    </xf>
    <xf numFmtId="166" fontId="20" fillId="0" borderId="6" xfId="0" applyNumberFormat="1" applyFont="1" applyBorder="1" applyAlignment="1">
      <alignment horizontal="right" vertical="center" wrapText="1"/>
    </xf>
    <xf numFmtId="0" fontId="15" fillId="8" borderId="6" xfId="0" applyFont="1" applyFill="1" applyBorder="1" applyAlignment="1">
      <alignment vertical="center" wrapText="1"/>
    </xf>
    <xf numFmtId="166" fontId="17" fillId="5" borderId="6" xfId="0" applyNumberFormat="1" applyFont="1" applyFill="1" applyBorder="1" applyAlignment="1">
      <alignment horizontal="center" vertical="center" wrapText="1"/>
    </xf>
    <xf numFmtId="0" fontId="15" fillId="8" borderId="17" xfId="0" applyFont="1" applyFill="1" applyBorder="1" applyAlignment="1">
      <alignment vertical="center" wrapText="1"/>
    </xf>
    <xf numFmtId="0" fontId="15" fillId="8" borderId="18" xfId="0" applyFont="1" applyFill="1" applyBorder="1" applyAlignment="1">
      <alignment horizontal="center" vertical="center" wrapText="1"/>
    </xf>
    <xf numFmtId="0" fontId="17" fillId="5" borderId="19" xfId="0" applyFont="1" applyFill="1" applyBorder="1" applyAlignment="1">
      <alignment horizontal="right" vertical="center" wrapText="1"/>
    </xf>
    <xf numFmtId="0" fontId="17" fillId="5" borderId="20" xfId="0" applyFont="1" applyFill="1" applyBorder="1" applyAlignment="1">
      <alignment vertical="center" wrapText="1"/>
    </xf>
    <xf numFmtId="166" fontId="17" fillId="5" borderId="20" xfId="0" applyNumberFormat="1" applyFont="1" applyFill="1" applyBorder="1" applyAlignment="1">
      <alignment horizontal="right" vertical="center" wrapText="1"/>
    </xf>
    <xf numFmtId="166" fontId="18" fillId="5" borderId="20" xfId="0" applyNumberFormat="1" applyFont="1" applyFill="1" applyBorder="1" applyAlignment="1">
      <alignment horizontal="right" vertical="center" wrapText="1"/>
    </xf>
    <xf numFmtId="0" fontId="17" fillId="0" borderId="0" xfId="0" applyFont="1"/>
    <xf numFmtId="9" fontId="17" fillId="0" borderId="0" xfId="0" applyNumberFormat="1" applyFont="1"/>
    <xf numFmtId="10" fontId="17" fillId="0" borderId="0" xfId="0" applyNumberFormat="1" applyFont="1"/>
    <xf numFmtId="0" fontId="15" fillId="8" borderId="6" xfId="0" applyFont="1" applyFill="1" applyBorder="1"/>
    <xf numFmtId="0" fontId="15" fillId="8" borderId="6" xfId="0" applyFont="1" applyFill="1" applyBorder="1" applyAlignment="1">
      <alignment horizontal="center"/>
    </xf>
    <xf numFmtId="0" fontId="17" fillId="0" borderId="6" xfId="0" applyFont="1" applyBorder="1"/>
    <xf numFmtId="165" fontId="17" fillId="5" borderId="6" xfId="0" applyNumberFormat="1" applyFont="1" applyFill="1" applyBorder="1"/>
    <xf numFmtId="165" fontId="17" fillId="0" borderId="6" xfId="0" applyNumberFormat="1" applyFont="1" applyBorder="1"/>
    <xf numFmtId="0" fontId="18" fillId="0" borderId="6" xfId="0" applyFont="1" applyBorder="1"/>
    <xf numFmtId="165" fontId="18" fillId="0" borderId="6" xfId="0" applyNumberFormat="1" applyFont="1" applyBorder="1"/>
    <xf numFmtId="0" fontId="22" fillId="0" borderId="0" xfId="0" applyFont="1" applyAlignment="1">
      <alignment horizontal="center"/>
    </xf>
    <xf numFmtId="0" fontId="18" fillId="8" borderId="6" xfId="0" applyFont="1" applyFill="1" applyBorder="1"/>
    <xf numFmtId="0" fontId="15" fillId="8" borderId="6" xfId="0" applyFont="1" applyFill="1" applyBorder="1" applyAlignment="1">
      <alignment horizontal="center" wrapText="1"/>
    </xf>
    <xf numFmtId="0" fontId="18" fillId="0" borderId="6" xfId="0" applyFont="1" applyBorder="1" applyAlignment="1">
      <alignment horizontal="center"/>
    </xf>
    <xf numFmtId="0" fontId="24" fillId="0" borderId="6" xfId="0" applyFont="1" applyBorder="1"/>
    <xf numFmtId="0" fontId="25" fillId="0" borderId="6" xfId="0" applyFont="1" applyBorder="1" applyAlignment="1">
      <alignment horizontal="center"/>
    </xf>
    <xf numFmtId="0" fontId="17" fillId="0" borderId="6" xfId="0" applyFont="1" applyBorder="1" applyAlignment="1">
      <alignment horizontal="left"/>
    </xf>
    <xf numFmtId="0" fontId="18" fillId="0" borderId="6" xfId="0" applyFont="1" applyBorder="1" applyAlignment="1">
      <alignment horizontal="left"/>
    </xf>
    <xf numFmtId="166" fontId="16" fillId="0" borderId="6" xfId="0" applyNumberFormat="1" applyFont="1" applyBorder="1"/>
    <xf numFmtId="166" fontId="26" fillId="0" borderId="6" xfId="0" applyNumberFormat="1" applyFont="1" applyBorder="1"/>
    <xf numFmtId="0" fontId="17" fillId="0" borderId="0" xfId="0" applyFont="1" applyAlignment="1">
      <alignment horizontal="left"/>
    </xf>
    <xf numFmtId="166" fontId="16" fillId="0" borderId="0" xfId="0" applyNumberFormat="1" applyFont="1"/>
    <xf numFmtId="0" fontId="18" fillId="10" borderId="23" xfId="0" applyFont="1" applyFill="1" applyBorder="1" applyAlignment="1">
      <alignment horizontal="left" wrapText="1"/>
    </xf>
    <xf numFmtId="0" fontId="18" fillId="0" borderId="0" xfId="0" applyFont="1" applyAlignment="1">
      <alignment horizontal="center"/>
    </xf>
    <xf numFmtId="0" fontId="18" fillId="0" borderId="0" xfId="0" applyFont="1"/>
    <xf numFmtId="0" fontId="18" fillId="0" borderId="0" xfId="0" applyFont="1" applyAlignment="1">
      <alignment wrapText="1"/>
    </xf>
    <xf numFmtId="0" fontId="17" fillId="0" borderId="0" xfId="0" applyFont="1" applyAlignment="1">
      <alignment wrapText="1"/>
    </xf>
    <xf numFmtId="0" fontId="27" fillId="0" borderId="0" xfId="0" applyFont="1"/>
    <xf numFmtId="0" fontId="28" fillId="0" borderId="0" xfId="0" applyFont="1"/>
    <xf numFmtId="0" fontId="15" fillId="9" borderId="6" xfId="0" applyFont="1" applyFill="1" applyBorder="1" applyAlignment="1">
      <alignment vertical="center"/>
    </xf>
    <xf numFmtId="0" fontId="15" fillId="9" borderId="6" xfId="0" applyFont="1" applyFill="1" applyBorder="1" applyAlignment="1">
      <alignment horizontal="center" vertical="center"/>
    </xf>
    <xf numFmtId="166" fontId="29" fillId="9" borderId="6" xfId="0" applyNumberFormat="1" applyFont="1" applyFill="1" applyBorder="1" applyAlignment="1">
      <alignment horizontal="center"/>
    </xf>
    <xf numFmtId="166" fontId="27" fillId="0" borderId="0" xfId="0" applyNumberFormat="1" applyFont="1"/>
    <xf numFmtId="0" fontId="26" fillId="0" borderId="6" xfId="0" applyFont="1" applyBorder="1" applyAlignment="1">
      <alignment vertical="center"/>
    </xf>
    <xf numFmtId="0" fontId="26" fillId="0" borderId="6" xfId="0" applyFont="1" applyBorder="1" applyAlignment="1">
      <alignment horizontal="center" vertical="center"/>
    </xf>
    <xf numFmtId="0" fontId="26" fillId="0" borderId="6" xfId="0" applyFont="1" applyBorder="1"/>
    <xf numFmtId="0" fontId="16" fillId="0" borderId="6" xfId="0" applyFont="1" applyBorder="1"/>
    <xf numFmtId="166" fontId="22" fillId="0" borderId="0" xfId="0" applyNumberFormat="1" applyFont="1"/>
    <xf numFmtId="38" fontId="22" fillId="0" borderId="0" xfId="0" applyNumberFormat="1" applyFont="1" applyAlignment="1">
      <alignment horizontal="left"/>
    </xf>
    <xf numFmtId="0" fontId="22" fillId="0" borderId="0" xfId="0" applyFont="1"/>
    <xf numFmtId="168" fontId="16" fillId="0" borderId="6" xfId="0" applyNumberFormat="1" applyFont="1" applyBorder="1" applyAlignment="1">
      <alignment vertical="center"/>
    </xf>
    <xf numFmtId="169" fontId="22" fillId="0" borderId="0" xfId="0" applyNumberFormat="1" applyFont="1" applyAlignment="1">
      <alignment vertical="center"/>
    </xf>
    <xf numFmtId="168" fontId="26" fillId="0" borderId="6" xfId="0" applyNumberFormat="1" applyFont="1" applyBorder="1" applyAlignment="1">
      <alignment vertical="center"/>
    </xf>
    <xf numFmtId="0" fontId="0" fillId="0" borderId="24" xfId="0" applyBorder="1"/>
    <xf numFmtId="0" fontId="22" fillId="0" borderId="24" xfId="0" applyFont="1" applyBorder="1"/>
    <xf numFmtId="9" fontId="22" fillId="6" borderId="23" xfId="0" applyNumberFormat="1" applyFont="1" applyFill="1" applyBorder="1"/>
    <xf numFmtId="165" fontId="17" fillId="0" borderId="0" xfId="0" applyNumberFormat="1" applyFont="1"/>
    <xf numFmtId="9" fontId="17" fillId="6" borderId="23" xfId="0" applyNumberFormat="1" applyFont="1" applyFill="1" applyBorder="1"/>
    <xf numFmtId="0" fontId="17" fillId="6" borderId="23" xfId="0" applyFont="1" applyFill="1" applyBorder="1"/>
    <xf numFmtId="170" fontId="17" fillId="0" borderId="0" xfId="0" applyNumberFormat="1" applyFont="1"/>
    <xf numFmtId="169" fontId="17" fillId="0" borderId="0" xfId="0" applyNumberFormat="1" applyFont="1"/>
    <xf numFmtId="0" fontId="15" fillId="8" borderId="6" xfId="0" applyFont="1" applyFill="1" applyBorder="1" applyAlignment="1">
      <alignment horizontal="right"/>
    </xf>
    <xf numFmtId="2" fontId="15" fillId="8" borderId="6" xfId="0" applyNumberFormat="1" applyFont="1" applyFill="1" applyBorder="1" applyAlignment="1">
      <alignment horizontal="right"/>
    </xf>
    <xf numFmtId="2" fontId="0" fillId="0" borderId="0" xfId="0" applyNumberFormat="1"/>
    <xf numFmtId="2" fontId="17" fillId="0" borderId="0" xfId="0" applyNumberFormat="1" applyFont="1"/>
    <xf numFmtId="0" fontId="8" fillId="0" borderId="0" xfId="0" applyFont="1"/>
    <xf numFmtId="0" fontId="15" fillId="9" borderId="6" xfId="0" applyFont="1" applyFill="1" applyBorder="1"/>
    <xf numFmtId="0" fontId="15" fillId="9" borderId="6" xfId="0" applyFont="1" applyFill="1" applyBorder="1" applyAlignment="1">
      <alignment horizontal="center"/>
    </xf>
    <xf numFmtId="0" fontId="16" fillId="5" borderId="23" xfId="0" applyFont="1" applyFill="1" applyBorder="1"/>
    <xf numFmtId="9" fontId="17" fillId="0" borderId="6" xfId="0" applyNumberFormat="1" applyFont="1" applyBorder="1"/>
    <xf numFmtId="0" fontId="26" fillId="5" borderId="6" xfId="0" applyFont="1" applyFill="1" applyBorder="1"/>
    <xf numFmtId="0" fontId="26" fillId="9" borderId="6" xfId="0" applyFont="1" applyFill="1" applyBorder="1"/>
    <xf numFmtId="0" fontId="16" fillId="5" borderId="6" xfId="0" applyFont="1" applyFill="1" applyBorder="1"/>
    <xf numFmtId="165" fontId="16" fillId="5" borderId="6" xfId="0" applyNumberFormat="1" applyFont="1" applyFill="1" applyBorder="1"/>
    <xf numFmtId="2" fontId="16" fillId="5" borderId="6" xfId="0" applyNumberFormat="1" applyFont="1" applyFill="1" applyBorder="1"/>
    <xf numFmtId="171" fontId="16" fillId="5" borderId="6" xfId="0" applyNumberFormat="1" applyFont="1" applyFill="1" applyBorder="1"/>
    <xf numFmtId="0" fontId="0" fillId="0" borderId="6" xfId="0" applyBorder="1"/>
    <xf numFmtId="9" fontId="17" fillId="6" borderId="6" xfId="0" applyNumberFormat="1" applyFont="1" applyFill="1" applyBorder="1"/>
    <xf numFmtId="2" fontId="26" fillId="5" borderId="6" xfId="0" applyNumberFormat="1" applyFont="1" applyFill="1" applyBorder="1"/>
    <xf numFmtId="9" fontId="17" fillId="5" borderId="6" xfId="0" applyNumberFormat="1" applyFont="1" applyFill="1" applyBorder="1"/>
    <xf numFmtId="0" fontId="30" fillId="0" borderId="0" xfId="0" applyFont="1"/>
    <xf numFmtId="0" fontId="0" fillId="0" borderId="0" xfId="0" applyAlignment="1">
      <alignment wrapText="1"/>
    </xf>
    <xf numFmtId="0" fontId="26" fillId="0" borderId="6" xfId="0" applyFont="1" applyBorder="1" applyAlignment="1">
      <alignment horizontal="center" vertical="center" wrapText="1"/>
    </xf>
    <xf numFmtId="0" fontId="26" fillId="0" borderId="6" xfId="0" applyFont="1" applyBorder="1" applyAlignment="1">
      <alignment horizontal="left" vertical="center" wrapText="1"/>
    </xf>
    <xf numFmtId="165" fontId="16" fillId="0" borderId="6" xfId="0" applyNumberFormat="1" applyFont="1" applyBorder="1" applyAlignment="1">
      <alignment horizontal="center" vertical="center" wrapText="1"/>
    </xf>
    <xf numFmtId="0" fontId="18" fillId="0" borderId="6" xfId="0" applyFont="1" applyBorder="1" applyAlignment="1">
      <alignment horizontal="center" vertical="center" wrapText="1"/>
    </xf>
    <xf numFmtId="0" fontId="18" fillId="0" borderId="6" xfId="0" applyFont="1" applyBorder="1" applyAlignment="1">
      <alignment vertical="center" wrapText="1"/>
    </xf>
    <xf numFmtId="165" fontId="17" fillId="0" borderId="6" xfId="0" applyNumberFormat="1" applyFont="1" applyBorder="1" applyAlignment="1">
      <alignment horizontal="right" vertical="center" wrapText="1"/>
    </xf>
    <xf numFmtId="0" fontId="17" fillId="0" borderId="6" xfId="0" applyFont="1" applyBorder="1" applyAlignment="1">
      <alignment horizontal="center" vertical="center" wrapText="1"/>
    </xf>
    <xf numFmtId="0" fontId="17" fillId="0" borderId="6" xfId="0" applyFont="1" applyBorder="1" applyAlignment="1">
      <alignment vertical="center" wrapText="1"/>
    </xf>
    <xf numFmtId="0" fontId="18" fillId="5" borderId="5" xfId="0" applyFont="1" applyFill="1" applyBorder="1" applyAlignment="1">
      <alignment horizontal="center" vertical="center" wrapText="1"/>
    </xf>
    <xf numFmtId="165" fontId="18" fillId="0" borderId="6" xfId="0" applyNumberFormat="1" applyFont="1" applyBorder="1" applyAlignment="1">
      <alignment horizontal="right" vertical="center" wrapText="1"/>
    </xf>
    <xf numFmtId="0" fontId="17" fillId="0" borderId="6" xfId="0" applyFont="1" applyBorder="1" applyAlignment="1">
      <alignment horizontal="right" vertical="center" wrapText="1"/>
    </xf>
    <xf numFmtId="9" fontId="18" fillId="6" borderId="6" xfId="0" applyNumberFormat="1" applyFont="1" applyFill="1" applyBorder="1" applyAlignment="1">
      <alignment horizontal="center" vertical="center" wrapText="1"/>
    </xf>
    <xf numFmtId="164" fontId="0" fillId="0" borderId="0" xfId="0" applyNumberFormat="1"/>
    <xf numFmtId="9" fontId="0" fillId="0" borderId="0" xfId="0" applyNumberFormat="1"/>
    <xf numFmtId="165" fontId="0" fillId="0" borderId="0" xfId="0" applyNumberFormat="1"/>
    <xf numFmtId="165" fontId="2" fillId="0" borderId="0" xfId="0" applyNumberFormat="1" applyFont="1"/>
    <xf numFmtId="0" fontId="33" fillId="0" borderId="0" xfId="0" applyFont="1"/>
    <xf numFmtId="0" fontId="27" fillId="0" borderId="0" xfId="0" applyFont="1" applyAlignment="1">
      <alignment vertical="center"/>
    </xf>
    <xf numFmtId="0" fontId="5" fillId="0" borderId="0" xfId="0" applyFont="1"/>
    <xf numFmtId="0" fontId="34" fillId="0" borderId="0" xfId="0" applyFont="1" applyAlignment="1">
      <alignment vertical="center"/>
    </xf>
    <xf numFmtId="0" fontId="22" fillId="0" borderId="0" xfId="0" applyFont="1" applyAlignment="1">
      <alignment vertical="center"/>
    </xf>
    <xf numFmtId="0" fontId="15" fillId="8" borderId="30" xfId="0" applyFont="1" applyFill="1" applyBorder="1" applyAlignment="1">
      <alignment vertical="center"/>
    </xf>
    <xf numFmtId="0" fontId="15" fillId="8" borderId="31" xfId="0" applyFont="1" applyFill="1" applyBorder="1" applyAlignment="1">
      <alignment horizontal="center"/>
    </xf>
    <xf numFmtId="0" fontId="16" fillId="0" borderId="32" xfId="0" applyFont="1" applyBorder="1" applyAlignment="1">
      <alignment vertical="center"/>
    </xf>
    <xf numFmtId="37" fontId="26" fillId="0" borderId="6" xfId="0" applyNumberFormat="1" applyFont="1" applyBorder="1" applyAlignment="1">
      <alignment vertical="center"/>
    </xf>
    <xf numFmtId="3" fontId="35" fillId="0" borderId="6" xfId="0" applyNumberFormat="1" applyFont="1" applyBorder="1" applyAlignment="1">
      <alignment horizontal="right" vertical="center"/>
    </xf>
    <xf numFmtId="0" fontId="36" fillId="0" borderId="32" xfId="0" applyFont="1" applyBorder="1" applyAlignment="1">
      <alignment vertical="center"/>
    </xf>
    <xf numFmtId="4" fontId="16" fillId="0" borderId="6" xfId="0" applyNumberFormat="1" applyFont="1" applyBorder="1" applyAlignment="1">
      <alignment vertical="center"/>
    </xf>
    <xf numFmtId="0" fontId="26" fillId="0" borderId="32" xfId="0" applyFont="1" applyBorder="1" applyAlignment="1">
      <alignment horizontal="left" vertical="center"/>
    </xf>
    <xf numFmtId="4" fontId="37" fillId="0" borderId="6" xfId="0" applyNumberFormat="1" applyFont="1" applyBorder="1" applyAlignment="1">
      <alignment vertical="center"/>
    </xf>
    <xf numFmtId="3" fontId="26" fillId="0" borderId="6" xfId="0" applyNumberFormat="1" applyFont="1" applyBorder="1" applyAlignment="1">
      <alignment vertical="center"/>
    </xf>
    <xf numFmtId="3" fontId="27" fillId="0" borderId="0" xfId="0" applyNumberFormat="1" applyFont="1" applyAlignment="1">
      <alignment vertical="center"/>
    </xf>
    <xf numFmtId="0" fontId="16" fillId="0" borderId="32" xfId="0" applyFont="1" applyBorder="1" applyAlignment="1">
      <alignment horizontal="left" vertical="center"/>
    </xf>
    <xf numFmtId="3" fontId="16" fillId="0" borderId="6" xfId="0" applyNumberFormat="1" applyFont="1" applyBorder="1" applyAlignment="1">
      <alignment vertical="center"/>
    </xf>
    <xf numFmtId="0" fontId="26" fillId="0" borderId="32" xfId="0" applyFont="1" applyBorder="1" applyAlignment="1">
      <alignment vertical="center"/>
    </xf>
    <xf numFmtId="3" fontId="37" fillId="0" borderId="6" xfId="0" applyNumberFormat="1" applyFont="1" applyBorder="1" applyAlignment="1">
      <alignment vertical="center"/>
    </xf>
    <xf numFmtId="3" fontId="35" fillId="0" borderId="6" xfId="0" applyNumberFormat="1" applyFont="1" applyBorder="1" applyAlignment="1">
      <alignment vertical="center"/>
    </xf>
    <xf numFmtId="0" fontId="18" fillId="0" borderId="32" xfId="0" applyFont="1" applyBorder="1" applyAlignment="1">
      <alignment vertical="center"/>
    </xf>
    <xf numFmtId="3" fontId="18" fillId="0" borderId="6" xfId="0" applyNumberFormat="1" applyFont="1" applyBorder="1" applyAlignment="1">
      <alignment vertical="center"/>
    </xf>
    <xf numFmtId="0" fontId="38" fillId="0" borderId="32" xfId="0" applyFont="1" applyBorder="1" applyAlignment="1">
      <alignment vertical="center"/>
    </xf>
    <xf numFmtId="4" fontId="39" fillId="0" borderId="6" xfId="0" applyNumberFormat="1" applyFont="1" applyBorder="1" applyAlignment="1">
      <alignment vertical="center"/>
    </xf>
    <xf numFmtId="0" fontId="40" fillId="0" borderId="32" xfId="0" applyFont="1" applyBorder="1" applyAlignment="1">
      <alignment vertical="center"/>
    </xf>
    <xf numFmtId="4" fontId="40" fillId="0" borderId="6" xfId="0" applyNumberFormat="1" applyFont="1" applyBorder="1" applyAlignment="1">
      <alignment vertical="center"/>
    </xf>
    <xf numFmtId="0" fontId="40" fillId="0" borderId="33" xfId="0" applyFont="1" applyBorder="1" applyAlignment="1">
      <alignment vertical="center"/>
    </xf>
    <xf numFmtId="4" fontId="40" fillId="0" borderId="34" xfId="0" applyNumberFormat="1" applyFont="1" applyBorder="1" applyAlignment="1">
      <alignment vertical="center"/>
    </xf>
    <xf numFmtId="4" fontId="27" fillId="0" borderId="0" xfId="0" applyNumberFormat="1" applyFont="1" applyAlignment="1">
      <alignment vertical="center"/>
    </xf>
    <xf numFmtId="0" fontId="15" fillId="8" borderId="6" xfId="0" applyFont="1" applyFill="1" applyBorder="1" applyAlignment="1">
      <alignment wrapText="1"/>
    </xf>
    <xf numFmtId="0" fontId="18" fillId="0" borderId="6" xfId="0" applyFont="1" applyBorder="1" applyAlignment="1">
      <alignment wrapText="1"/>
    </xf>
    <xf numFmtId="165" fontId="17" fillId="0" borderId="6" xfId="0" applyNumberFormat="1" applyFont="1" applyBorder="1" applyAlignment="1">
      <alignment wrapText="1"/>
    </xf>
    <xf numFmtId="0" fontId="17" fillId="0" borderId="6" xfId="0" applyFont="1" applyBorder="1" applyAlignment="1">
      <alignment horizontal="left" wrapText="1"/>
    </xf>
    <xf numFmtId="165" fontId="18" fillId="0" borderId="6" xfId="0" applyNumberFormat="1" applyFont="1" applyBorder="1" applyAlignment="1">
      <alignment wrapText="1"/>
    </xf>
    <xf numFmtId="0" fontId="17" fillId="0" borderId="6" xfId="0" applyFont="1" applyBorder="1" applyAlignment="1">
      <alignment wrapText="1"/>
    </xf>
    <xf numFmtId="0" fontId="17" fillId="0" borderId="6" xfId="0" applyFont="1" applyBorder="1" applyAlignment="1">
      <alignment horizontal="right" wrapText="1"/>
    </xf>
    <xf numFmtId="166" fontId="17" fillId="0" borderId="6" xfId="0" applyNumberFormat="1" applyFont="1" applyBorder="1" applyAlignment="1">
      <alignment wrapText="1"/>
    </xf>
    <xf numFmtId="0" fontId="18" fillId="0" borderId="6" xfId="0" applyFont="1" applyBorder="1" applyAlignment="1">
      <alignment horizontal="right" wrapText="1"/>
    </xf>
    <xf numFmtId="165" fontId="17" fillId="11" borderId="6" xfId="0" applyNumberFormat="1" applyFont="1" applyFill="1" applyBorder="1" applyAlignment="1">
      <alignment wrapText="1"/>
    </xf>
    <xf numFmtId="0" fontId="18" fillId="0" borderId="6" xfId="0" applyFont="1" applyBorder="1" applyAlignment="1">
      <alignment horizontal="left" wrapText="1"/>
    </xf>
    <xf numFmtId="0" fontId="42" fillId="0" borderId="0" xfId="0" applyFont="1"/>
    <xf numFmtId="0" fontId="29" fillId="9" borderId="6" xfId="0" applyFont="1" applyFill="1" applyBorder="1" applyAlignment="1">
      <alignment horizontal="left"/>
    </xf>
    <xf numFmtId="0" fontId="43" fillId="9" borderId="6" xfId="0" applyFont="1" applyFill="1" applyBorder="1" applyAlignment="1">
      <alignment horizontal="center"/>
    </xf>
    <xf numFmtId="0" fontId="44" fillId="9" borderId="35" xfId="0" applyFont="1" applyFill="1" applyBorder="1" applyAlignment="1">
      <alignment horizontal="center"/>
    </xf>
    <xf numFmtId="4" fontId="17" fillId="0" borderId="6" xfId="0" applyNumberFormat="1" applyFont="1" applyBorder="1"/>
    <xf numFmtId="172" fontId="17" fillId="0" borderId="6" xfId="0" applyNumberFormat="1" applyFont="1" applyBorder="1"/>
    <xf numFmtId="10" fontId="17" fillId="0" borderId="6" xfId="0" applyNumberFormat="1" applyFont="1" applyBorder="1"/>
    <xf numFmtId="0" fontId="17" fillId="0" borderId="6" xfId="0" quotePrefix="1" applyFont="1" applyBorder="1" applyAlignment="1">
      <alignment horizontal="left"/>
    </xf>
    <xf numFmtId="4" fontId="45" fillId="0" borderId="6" xfId="0" applyNumberFormat="1" applyFont="1" applyBorder="1"/>
    <xf numFmtId="4" fontId="0" fillId="0" borderId="6" xfId="0" applyNumberFormat="1" applyBorder="1"/>
    <xf numFmtId="4" fontId="0" fillId="0" borderId="0" xfId="0" applyNumberFormat="1"/>
    <xf numFmtId="10" fontId="0" fillId="0" borderId="0" xfId="0" applyNumberFormat="1"/>
    <xf numFmtId="0" fontId="29" fillId="9" borderId="6" xfId="0" applyFont="1" applyFill="1" applyBorder="1"/>
    <xf numFmtId="0" fontId="29" fillId="9" borderId="6" xfId="0" applyFont="1" applyFill="1" applyBorder="1" applyAlignment="1">
      <alignment horizontal="center"/>
    </xf>
    <xf numFmtId="2" fontId="17" fillId="0" borderId="6" xfId="0" applyNumberFormat="1" applyFont="1" applyBorder="1"/>
    <xf numFmtId="10" fontId="18" fillId="0" borderId="0" xfId="0" applyNumberFormat="1" applyFont="1"/>
    <xf numFmtId="3" fontId="17" fillId="0" borderId="6" xfId="0" applyNumberFormat="1" applyFont="1" applyBorder="1"/>
    <xf numFmtId="0" fontId="45" fillId="0" borderId="6" xfId="0" applyFont="1" applyBorder="1"/>
    <xf numFmtId="0" fontId="45" fillId="0" borderId="0" xfId="0" applyFont="1"/>
    <xf numFmtId="43" fontId="17" fillId="0" borderId="0" xfId="0" applyNumberFormat="1" applyFont="1"/>
    <xf numFmtId="0" fontId="48" fillId="9" borderId="6" xfId="0" applyFont="1" applyFill="1" applyBorder="1" applyAlignment="1">
      <alignment horizontal="center"/>
    </xf>
    <xf numFmtId="0" fontId="49" fillId="0" borderId="6" xfId="0" applyFont="1" applyBorder="1" applyAlignment="1">
      <alignment horizontal="center"/>
    </xf>
    <xf numFmtId="0" fontId="50" fillId="0" borderId="6" xfId="0" applyFont="1" applyBorder="1" applyAlignment="1">
      <alignment horizontal="center"/>
    </xf>
    <xf numFmtId="0" fontId="18" fillId="0" borderId="6" xfId="0" applyFont="1" applyBorder="1" applyAlignment="1">
      <alignment horizontal="center" vertical="center"/>
    </xf>
    <xf numFmtId="0" fontId="17" fillId="0" borderId="6" xfId="0" applyFont="1" applyBorder="1" applyAlignment="1">
      <alignment horizontal="center"/>
    </xf>
    <xf numFmtId="0" fontId="16" fillId="0" borderId="6" xfId="0" applyFont="1" applyBorder="1" applyAlignment="1">
      <alignment horizontal="center"/>
    </xf>
    <xf numFmtId="165" fontId="17" fillId="0" borderId="6" xfId="0" applyNumberFormat="1" applyFont="1" applyBorder="1" applyAlignment="1">
      <alignment horizontal="center"/>
    </xf>
    <xf numFmtId="165" fontId="0" fillId="0" borderId="6" xfId="0" applyNumberFormat="1" applyBorder="1"/>
    <xf numFmtId="0" fontId="0" fillId="0" borderId="6" xfId="0" applyBorder="1" applyAlignment="1">
      <alignment horizontal="center" vertical="center"/>
    </xf>
    <xf numFmtId="165" fontId="5" fillId="0" borderId="6" xfId="0" applyNumberFormat="1" applyFont="1" applyBorder="1"/>
    <xf numFmtId="2" fontId="5" fillId="0" borderId="6" xfId="0" applyNumberFormat="1" applyFont="1" applyBorder="1"/>
    <xf numFmtId="2" fontId="5" fillId="0" borderId="0" xfId="0" applyNumberFormat="1" applyFont="1"/>
    <xf numFmtId="2" fontId="18" fillId="0" borderId="6" xfId="0" applyNumberFormat="1" applyFont="1" applyBorder="1"/>
    <xf numFmtId="9" fontId="5" fillId="6" borderId="23" xfId="0" applyNumberFormat="1" applyFont="1" applyFill="1" applyBorder="1"/>
    <xf numFmtId="173" fontId="17" fillId="0" borderId="0" xfId="0" applyNumberFormat="1" applyFont="1"/>
    <xf numFmtId="173" fontId="17" fillId="0" borderId="6" xfId="0" applyNumberFormat="1" applyFont="1" applyBorder="1"/>
    <xf numFmtId="174" fontId="17" fillId="0" borderId="6" xfId="0" applyNumberFormat="1" applyFont="1" applyBorder="1"/>
    <xf numFmtId="164" fontId="17" fillId="0" borderId="6" xfId="0" applyNumberFormat="1" applyFont="1" applyBorder="1"/>
    <xf numFmtId="43" fontId="18" fillId="0" borderId="6" xfId="0" applyNumberFormat="1" applyFont="1" applyBorder="1"/>
    <xf numFmtId="173" fontId="18" fillId="0" borderId="6" xfId="0" applyNumberFormat="1" applyFont="1" applyBorder="1"/>
    <xf numFmtId="0" fontId="51" fillId="0" borderId="0" xfId="0" applyFont="1"/>
    <xf numFmtId="0" fontId="52" fillId="9" borderId="6" xfId="0" applyFont="1" applyFill="1" applyBorder="1"/>
    <xf numFmtId="0" fontId="52" fillId="9" borderId="6" xfId="0" applyFont="1" applyFill="1" applyBorder="1" applyAlignment="1">
      <alignment horizontal="center"/>
    </xf>
    <xf numFmtId="0" fontId="52" fillId="0" borderId="0" xfId="0" applyFont="1" applyAlignment="1">
      <alignment horizontal="center"/>
    </xf>
    <xf numFmtId="0" fontId="0" fillId="5" borderId="6" xfId="0" applyFill="1" applyBorder="1"/>
    <xf numFmtId="1" fontId="0" fillId="0" borderId="0" xfId="0" applyNumberFormat="1"/>
    <xf numFmtId="0" fontId="5" fillId="0" borderId="6" xfId="0" applyFont="1" applyBorder="1"/>
    <xf numFmtId="165" fontId="5" fillId="0" borderId="0" xfId="0" applyNumberFormat="1" applyFont="1"/>
    <xf numFmtId="0" fontId="5" fillId="5" borderId="6" xfId="0" applyFont="1" applyFill="1" applyBorder="1"/>
    <xf numFmtId="175" fontId="0" fillId="0" borderId="0" xfId="0" applyNumberFormat="1"/>
    <xf numFmtId="9" fontId="0" fillId="5" borderId="6" xfId="0" applyNumberFormat="1" applyFill="1" applyBorder="1"/>
    <xf numFmtId="0" fontId="0" fillId="6" borderId="6" xfId="0" applyFill="1" applyBorder="1"/>
    <xf numFmtId="9" fontId="0" fillId="6" borderId="6" xfId="0" applyNumberFormat="1" applyFill="1" applyBorder="1"/>
    <xf numFmtId="0" fontId="0" fillId="0" borderId="9" xfId="0" applyBorder="1" applyAlignment="1">
      <alignment horizontal="center" vertical="center"/>
    </xf>
    <xf numFmtId="0" fontId="0" fillId="0" borderId="8" xfId="0" applyBorder="1" applyAlignment="1">
      <alignment vertical="center" wrapText="1"/>
    </xf>
    <xf numFmtId="0" fontId="0" fillId="0" borderId="9" xfId="0" applyBorder="1" applyAlignment="1">
      <alignment vertical="center" wrapText="1"/>
    </xf>
    <xf numFmtId="9" fontId="52" fillId="6" borderId="6" xfId="0" applyNumberFormat="1" applyFont="1" applyFill="1" applyBorder="1"/>
    <xf numFmtId="9" fontId="52" fillId="6" borderId="6" xfId="0" applyNumberFormat="1" applyFont="1" applyFill="1" applyBorder="1" applyAlignment="1">
      <alignment horizontal="center"/>
    </xf>
    <xf numFmtId="9" fontId="53" fillId="6" borderId="6" xfId="0" applyNumberFormat="1" applyFont="1" applyFill="1" applyBorder="1"/>
    <xf numFmtId="175" fontId="53" fillId="6" borderId="6" xfId="0" applyNumberFormat="1" applyFont="1" applyFill="1" applyBorder="1"/>
    <xf numFmtId="0" fontId="5" fillId="0" borderId="9" xfId="0" applyFont="1" applyBorder="1" applyAlignment="1">
      <alignment horizontal="center" vertical="center"/>
    </xf>
    <xf numFmtId="0" fontId="17" fillId="5" borderId="23" xfId="0" applyFont="1" applyFill="1" applyBorder="1"/>
    <xf numFmtId="9" fontId="0" fillId="0" borderId="6" xfId="0" applyNumberFormat="1" applyBorder="1"/>
    <xf numFmtId="166" fontId="18" fillId="0" borderId="6" xfId="0" applyNumberFormat="1" applyFont="1" applyBorder="1"/>
    <xf numFmtId="0" fontId="18" fillId="6" borderId="6" xfId="0" applyFont="1" applyFill="1" applyBorder="1"/>
    <xf numFmtId="9" fontId="18" fillId="6" borderId="6" xfId="0" applyNumberFormat="1" applyFont="1" applyFill="1" applyBorder="1"/>
    <xf numFmtId="166" fontId="18" fillId="6" borderId="6" xfId="0" applyNumberFormat="1" applyFont="1" applyFill="1" applyBorder="1"/>
    <xf numFmtId="166" fontId="17" fillId="0" borderId="6" xfId="0" applyNumberFormat="1" applyFont="1" applyBorder="1"/>
    <xf numFmtId="9" fontId="18" fillId="0" borderId="0" xfId="0" applyNumberFormat="1" applyFont="1" applyAlignment="1">
      <alignment horizontal="center"/>
    </xf>
    <xf numFmtId="10" fontId="18" fillId="0" borderId="0" xfId="0" applyNumberFormat="1" applyFont="1" applyAlignment="1">
      <alignment horizontal="center"/>
    </xf>
    <xf numFmtId="165" fontId="18" fillId="5" borderId="6" xfId="0" applyNumberFormat="1" applyFont="1" applyFill="1" applyBorder="1"/>
    <xf numFmtId="173" fontId="18" fillId="5" borderId="6" xfId="0" applyNumberFormat="1" applyFont="1" applyFill="1" applyBorder="1"/>
    <xf numFmtId="164" fontId="17" fillId="0" borderId="0" xfId="0" applyNumberFormat="1" applyFont="1"/>
    <xf numFmtId="1" fontId="17" fillId="0" borderId="6" xfId="0" applyNumberFormat="1" applyFont="1" applyBorder="1"/>
    <xf numFmtId="0" fontId="17" fillId="6" borderId="6" xfId="0" applyFont="1" applyFill="1" applyBorder="1"/>
    <xf numFmtId="165" fontId="0" fillId="0" borderId="2" xfId="0" applyNumberFormat="1" applyBorder="1"/>
    <xf numFmtId="0" fontId="17" fillId="5" borderId="6" xfId="0" applyFont="1" applyFill="1" applyBorder="1" applyAlignment="1">
      <alignment wrapText="1"/>
    </xf>
    <xf numFmtId="167" fontId="17" fillId="5" borderId="23" xfId="0" applyNumberFormat="1" applyFont="1" applyFill="1" applyBorder="1"/>
    <xf numFmtId="167" fontId="17" fillId="0" borderId="0" xfId="0" applyNumberFormat="1" applyFont="1"/>
    <xf numFmtId="1" fontId="17" fillId="0" borderId="0" xfId="0" applyNumberFormat="1" applyFont="1"/>
    <xf numFmtId="0" fontId="0" fillId="0" borderId="6" xfId="0" applyBorder="1" applyAlignment="1">
      <alignment horizontal="center"/>
    </xf>
    <xf numFmtId="165" fontId="17" fillId="5" borderId="6" xfId="0" applyNumberFormat="1" applyFont="1" applyFill="1" applyBorder="1" applyAlignment="1">
      <alignment wrapText="1"/>
    </xf>
    <xf numFmtId="165" fontId="18" fillId="0" borderId="0" xfId="0" applyNumberFormat="1" applyFont="1"/>
    <xf numFmtId="166" fontId="17" fillId="5" borderId="6" xfId="0" applyNumberFormat="1" applyFont="1" applyFill="1" applyBorder="1"/>
    <xf numFmtId="166" fontId="17" fillId="0" borderId="0" xfId="0" applyNumberFormat="1" applyFont="1"/>
    <xf numFmtId="165" fontId="17" fillId="0" borderId="4" xfId="0" applyNumberFormat="1" applyFont="1" applyBorder="1"/>
    <xf numFmtId="0" fontId="18" fillId="5" borderId="2" xfId="0" applyFont="1" applyFill="1" applyBorder="1" applyAlignment="1">
      <alignment horizontal="center" vertical="center" wrapText="1"/>
    </xf>
    <xf numFmtId="0" fontId="52" fillId="9" borderId="6" xfId="0" applyFont="1" applyFill="1" applyBorder="1" applyAlignment="1">
      <alignment vertical="center"/>
    </xf>
    <xf numFmtId="0" fontId="52" fillId="9" borderId="6" xfId="0" applyFont="1" applyFill="1" applyBorder="1" applyAlignment="1">
      <alignment vertical="center" wrapText="1"/>
    </xf>
    <xf numFmtId="0" fontId="0" fillId="0" borderId="0" xfId="0" applyAlignment="1">
      <alignment vertical="center"/>
    </xf>
    <xf numFmtId="0" fontId="5" fillId="0" borderId="24" xfId="0" applyFont="1" applyBorder="1" applyAlignment="1">
      <alignment vertical="center" wrapText="1"/>
    </xf>
    <xf numFmtId="0" fontId="52" fillId="9" borderId="6" xfId="0" applyFont="1" applyFill="1" applyBorder="1" applyAlignment="1">
      <alignment horizontal="center" vertical="center"/>
    </xf>
    <xf numFmtId="0" fontId="52" fillId="9" borderId="6" xfId="0" applyFont="1" applyFill="1" applyBorder="1" applyAlignment="1">
      <alignment horizontal="center" vertical="center" wrapText="1"/>
    </xf>
    <xf numFmtId="0" fontId="0" fillId="0" borderId="0" xfId="0" applyAlignment="1">
      <alignment horizontal="center" vertical="center"/>
    </xf>
    <xf numFmtId="0" fontId="5" fillId="0" borderId="24" xfId="0" applyFont="1" applyBorder="1" applyAlignment="1">
      <alignment horizontal="center" vertical="center" wrapText="1"/>
    </xf>
    <xf numFmtId="0" fontId="52" fillId="9" borderId="10" xfId="0" applyFont="1" applyFill="1" applyBorder="1" applyAlignment="1">
      <alignment vertical="center" wrapText="1"/>
    </xf>
    <xf numFmtId="0" fontId="55" fillId="0" borderId="0" xfId="0" applyFont="1" applyAlignment="1">
      <alignment horizontal="center"/>
    </xf>
    <xf numFmtId="9" fontId="55" fillId="0" borderId="0" xfId="0" applyNumberFormat="1" applyFont="1" applyAlignment="1">
      <alignment horizontal="center"/>
    </xf>
    <xf numFmtId="10" fontId="55" fillId="0" borderId="0" xfId="0" applyNumberFormat="1" applyFont="1" applyAlignment="1">
      <alignment horizontal="center"/>
    </xf>
    <xf numFmtId="0" fontId="56" fillId="0" borderId="0" xfId="0" applyFont="1"/>
    <xf numFmtId="0" fontId="57" fillId="0" borderId="0" xfId="0" applyFont="1"/>
    <xf numFmtId="0" fontId="18" fillId="5" borderId="6" xfId="2" applyFont="1" applyFill="1" applyBorder="1" applyAlignment="1">
      <alignment vertical="center" wrapText="1"/>
    </xf>
    <xf numFmtId="0" fontId="59" fillId="5" borderId="6" xfId="2" applyFont="1" applyFill="1" applyBorder="1" applyAlignment="1">
      <alignment vertical="center" wrapText="1"/>
    </xf>
    <xf numFmtId="165" fontId="18" fillId="5" borderId="6" xfId="3" applyNumberFormat="1" applyFont="1" applyFill="1" applyBorder="1" applyAlignment="1">
      <alignment horizontal="right" vertical="center" wrapText="1"/>
    </xf>
    <xf numFmtId="166" fontId="59" fillId="5" borderId="6" xfId="0" applyNumberFormat="1" applyFont="1" applyFill="1" applyBorder="1" applyAlignment="1">
      <alignment horizontal="right" vertical="center" wrapText="1"/>
    </xf>
    <xf numFmtId="0" fontId="18" fillId="5" borderId="5" xfId="2" applyFont="1" applyFill="1" applyBorder="1" applyAlignment="1">
      <alignment vertical="center" wrapText="1"/>
    </xf>
    <xf numFmtId="0" fontId="59" fillId="5" borderId="6" xfId="0" applyFont="1" applyFill="1" applyBorder="1" applyAlignment="1">
      <alignment horizontal="center" vertical="center" wrapText="1"/>
    </xf>
    <xf numFmtId="0" fontId="62" fillId="0" borderId="0" xfId="0" applyFont="1"/>
    <xf numFmtId="0" fontId="61" fillId="0" borderId="6" xfId="0" applyFont="1" applyBorder="1" applyAlignment="1">
      <alignment wrapText="1"/>
    </xf>
    <xf numFmtId="0" fontId="62" fillId="5" borderId="6" xfId="0" applyFont="1" applyFill="1" applyBorder="1"/>
    <xf numFmtId="0" fontId="61" fillId="0" borderId="6" xfId="0" applyFont="1" applyBorder="1"/>
    <xf numFmtId="0" fontId="61" fillId="0" borderId="6" xfId="0" applyFont="1" applyBorder="1" applyAlignment="1">
      <alignment vertical="center" wrapText="1"/>
    </xf>
    <xf numFmtId="0" fontId="59" fillId="0" borderId="28" xfId="0" applyFont="1" applyBorder="1" applyAlignment="1">
      <alignment vertical="center" wrapText="1"/>
    </xf>
    <xf numFmtId="164" fontId="64" fillId="0" borderId="0" xfId="1" applyFont="1" applyAlignment="1"/>
    <xf numFmtId="0" fontId="60" fillId="5" borderId="6" xfId="0" applyFont="1" applyFill="1" applyBorder="1" applyAlignment="1">
      <alignment vertical="center" wrapText="1"/>
    </xf>
    <xf numFmtId="0" fontId="61" fillId="5" borderId="20" xfId="0" applyFont="1" applyFill="1" applyBorder="1" applyAlignment="1">
      <alignment vertical="center" wrapText="1"/>
    </xf>
    <xf numFmtId="0" fontId="59" fillId="5" borderId="6" xfId="0" applyFont="1" applyFill="1" applyBorder="1" applyAlignment="1">
      <alignment vertical="center" wrapText="1"/>
    </xf>
    <xf numFmtId="0" fontId="18" fillId="5" borderId="6" xfId="0" applyFont="1" applyFill="1" applyBorder="1" applyAlignment="1">
      <alignment horizontal="left" vertical="center" wrapText="1"/>
    </xf>
    <xf numFmtId="0" fontId="61" fillId="5" borderId="6" xfId="0" applyFont="1" applyFill="1" applyBorder="1"/>
    <xf numFmtId="164" fontId="17" fillId="0" borderId="28" xfId="0" applyNumberFormat="1" applyFont="1" applyBorder="1"/>
    <xf numFmtId="17" fontId="0" fillId="0" borderId="0" xfId="0" applyNumberFormat="1"/>
    <xf numFmtId="0" fontId="7" fillId="0" borderId="0" xfId="0" applyFont="1" applyAlignment="1">
      <alignment horizontal="left" vertical="center" wrapText="1"/>
    </xf>
    <xf numFmtId="0" fontId="0" fillId="0" borderId="0" xfId="0"/>
    <xf numFmtId="0" fontId="1" fillId="0" borderId="1" xfId="0" applyFont="1" applyBorder="1" applyAlignment="1">
      <alignment horizontal="center" vertical="center" wrapText="1"/>
    </xf>
    <xf numFmtId="0" fontId="2" fillId="0" borderId="1" xfId="0" applyFont="1" applyBorder="1"/>
    <xf numFmtId="0" fontId="3" fillId="2" borderId="2" xfId="0" applyFont="1" applyFill="1" applyBorder="1" applyAlignment="1">
      <alignment horizontal="center" vertical="center" wrapText="1"/>
    </xf>
    <xf numFmtId="0" fontId="2" fillId="0" borderId="3" xfId="0" applyFont="1" applyBorder="1"/>
    <xf numFmtId="0" fontId="2" fillId="0" borderId="4" xfId="0" applyFont="1" applyBorder="1"/>
    <xf numFmtId="0" fontId="4" fillId="3" borderId="2" xfId="0" applyFont="1" applyFill="1" applyBorder="1" applyAlignment="1">
      <alignment horizontal="left" vertical="center" wrapText="1"/>
    </xf>
    <xf numFmtId="0" fontId="0" fillId="0" borderId="2" xfId="0" applyBorder="1" applyAlignment="1">
      <alignment horizontal="left" vertical="center" wrapText="1"/>
    </xf>
    <xf numFmtId="0" fontId="0" fillId="0" borderId="8" xfId="0" applyBorder="1" applyAlignment="1">
      <alignment horizontal="left" vertical="center" wrapText="1"/>
    </xf>
    <xf numFmtId="0" fontId="2" fillId="0" borderId="7" xfId="0" applyFont="1" applyBorder="1"/>
    <xf numFmtId="0" fontId="2" fillId="0" borderId="9" xfId="0" applyFont="1" applyBorder="1"/>
    <xf numFmtId="0" fontId="0" fillId="0" borderId="3" xfId="0" applyBorder="1" applyAlignment="1">
      <alignment horizontal="center" vertical="center" wrapText="1"/>
    </xf>
    <xf numFmtId="0" fontId="4" fillId="4" borderId="2" xfId="0" applyFont="1" applyFill="1" applyBorder="1" applyAlignment="1">
      <alignment horizontal="left" vertical="center" wrapText="1"/>
    </xf>
    <xf numFmtId="0" fontId="5" fillId="0" borderId="2" xfId="0" applyFont="1" applyBorder="1" applyAlignment="1">
      <alignment horizontal="left" vertical="center" wrapText="1"/>
    </xf>
    <xf numFmtId="0" fontId="9" fillId="9" borderId="12" xfId="0" applyFont="1" applyFill="1" applyBorder="1" applyAlignment="1">
      <alignment horizontal="center" vertical="center" wrapText="1"/>
    </xf>
    <xf numFmtId="0" fontId="2" fillId="0" borderId="13" xfId="0" applyFont="1" applyBorder="1"/>
    <xf numFmtId="0" fontId="8" fillId="0" borderId="0" xfId="0" applyFont="1" applyAlignment="1">
      <alignment horizontal="center"/>
    </xf>
    <xf numFmtId="0" fontId="12" fillId="0" borderId="2" xfId="0" applyFont="1" applyBorder="1" applyAlignment="1">
      <alignment horizontal="center" vertical="center" wrapText="1"/>
    </xf>
    <xf numFmtId="0" fontId="5" fillId="0" borderId="0" xfId="0" applyFont="1" applyAlignment="1">
      <alignment horizontal="center"/>
    </xf>
    <xf numFmtId="0" fontId="13" fillId="0" borderId="0" xfId="0" applyFont="1" applyAlignment="1">
      <alignment horizontal="center" wrapText="1"/>
    </xf>
    <xf numFmtId="0" fontId="18" fillId="0" borderId="21" xfId="0" applyFont="1" applyBorder="1" applyAlignment="1">
      <alignment horizontal="center" vertical="center" wrapText="1"/>
    </xf>
    <xf numFmtId="0" fontId="2" fillId="0" borderId="22" xfId="0" applyFont="1" applyBorder="1"/>
    <xf numFmtId="0" fontId="21" fillId="0" borderId="0" xfId="0" applyFont="1" applyAlignment="1">
      <alignment horizontal="center" wrapText="1"/>
    </xf>
    <xf numFmtId="0" fontId="63" fillId="0" borderId="0" xfId="0" applyFont="1" applyAlignment="1">
      <alignment horizontal="center"/>
    </xf>
    <xf numFmtId="0" fontId="18" fillId="0" borderId="2" xfId="0" applyFont="1" applyBorder="1" applyAlignment="1">
      <alignment horizontal="center" vertical="center" wrapText="1"/>
    </xf>
    <xf numFmtId="0" fontId="5" fillId="6" borderId="14" xfId="0" applyFont="1" applyFill="1" applyBorder="1" applyAlignment="1">
      <alignment horizontal="center"/>
    </xf>
    <xf numFmtId="0" fontId="2" fillId="0" borderId="15" xfId="0" applyFont="1" applyBorder="1"/>
    <xf numFmtId="0" fontId="2" fillId="0" borderId="16" xfId="0" applyFont="1" applyBorder="1"/>
    <xf numFmtId="0" fontId="20" fillId="0" borderId="2" xfId="0" applyFont="1" applyBorder="1" applyAlignment="1">
      <alignment horizontal="center" vertical="center" wrapText="1"/>
    </xf>
    <xf numFmtId="0" fontId="18" fillId="5" borderId="2" xfId="0" applyFont="1" applyFill="1" applyBorder="1" applyAlignment="1">
      <alignment horizontal="center" vertical="center" wrapText="1"/>
    </xf>
    <xf numFmtId="0" fontId="23" fillId="0" borderId="0" xfId="0" applyFont="1" applyAlignment="1">
      <alignment horizontal="center"/>
    </xf>
    <xf numFmtId="0" fontId="22" fillId="0" borderId="0" xfId="0" applyFont="1" applyAlignment="1">
      <alignment horizontal="center" vertical="center" wrapText="1"/>
    </xf>
    <xf numFmtId="0" fontId="22" fillId="0" borderId="0" xfId="0" applyFont="1" applyAlignment="1">
      <alignment horizontal="center"/>
    </xf>
    <xf numFmtId="0" fontId="18" fillId="0" borderId="1" xfId="0" applyFont="1" applyBorder="1" applyAlignment="1">
      <alignment horizontal="center"/>
    </xf>
    <xf numFmtId="0" fontId="5" fillId="0" borderId="1" xfId="0" applyFont="1" applyBorder="1" applyAlignment="1">
      <alignment horizontal="center"/>
    </xf>
    <xf numFmtId="0" fontId="2" fillId="0" borderId="25" xfId="0" applyFont="1" applyBorder="1"/>
    <xf numFmtId="0" fontId="5" fillId="0" borderId="0" xfId="0" applyFont="1" applyAlignment="1">
      <alignment horizontal="center" wrapText="1"/>
    </xf>
    <xf numFmtId="0" fontId="31" fillId="0" borderId="0" xfId="0" applyFont="1" applyAlignment="1">
      <alignment horizontal="center" wrapText="1"/>
    </xf>
    <xf numFmtId="0" fontId="26" fillId="5" borderId="26" xfId="0" applyFont="1" applyFill="1" applyBorder="1" applyAlignment="1">
      <alignment horizontal="center"/>
    </xf>
    <xf numFmtId="0" fontId="2" fillId="0" borderId="27" xfId="0" applyFont="1" applyBorder="1"/>
    <xf numFmtId="0" fontId="26" fillId="5" borderId="14" xfId="0" applyFont="1" applyFill="1" applyBorder="1" applyAlignment="1">
      <alignment horizontal="center"/>
    </xf>
    <xf numFmtId="0" fontId="15" fillId="8" borderId="8" xfId="0" applyFont="1" applyFill="1" applyBorder="1" applyAlignment="1">
      <alignment horizontal="center" vertical="center" wrapText="1"/>
    </xf>
    <xf numFmtId="0" fontId="15" fillId="8" borderId="28" xfId="0" applyFont="1" applyFill="1" applyBorder="1" applyAlignment="1">
      <alignment horizontal="center" vertical="center" wrapText="1"/>
    </xf>
    <xf numFmtId="0" fontId="15" fillId="8" borderId="12" xfId="0" applyFont="1" applyFill="1" applyBorder="1" applyAlignment="1">
      <alignment horizontal="center" vertical="center" wrapText="1"/>
    </xf>
    <xf numFmtId="0" fontId="32" fillId="0" borderId="0" xfId="0" applyFont="1" applyAlignment="1">
      <alignment horizontal="center" wrapText="1"/>
    </xf>
    <xf numFmtId="0" fontId="8" fillId="0" borderId="29" xfId="0" applyFont="1" applyBorder="1" applyAlignment="1">
      <alignment horizontal="center"/>
    </xf>
    <xf numFmtId="0" fontId="41" fillId="0" borderId="0" xfId="0" applyFont="1" applyAlignment="1">
      <alignment horizontal="center" wrapText="1"/>
    </xf>
    <xf numFmtId="0" fontId="18" fillId="0" borderId="2" xfId="0" applyFont="1" applyBorder="1" applyAlignment="1">
      <alignment horizontal="center" wrapText="1"/>
    </xf>
    <xf numFmtId="0" fontId="20" fillId="0" borderId="0" xfId="0" applyFont="1" applyAlignment="1">
      <alignment horizontal="center" wrapText="1"/>
    </xf>
    <xf numFmtId="0" fontId="51" fillId="0" borderId="0" xfId="0" applyFont="1" applyAlignment="1">
      <alignment horizontal="center" wrapText="1"/>
    </xf>
    <xf numFmtId="0" fontId="7" fillId="0" borderId="0" xfId="0" applyFont="1" applyAlignment="1">
      <alignment horizontal="center"/>
    </xf>
    <xf numFmtId="0" fontId="8" fillId="0" borderId="36" xfId="0" applyFont="1" applyBorder="1" applyAlignment="1">
      <alignment horizontal="center"/>
    </xf>
    <xf numFmtId="0" fontId="21" fillId="0" borderId="0" xfId="0" applyFont="1" applyAlignment="1">
      <alignment horizontal="center"/>
    </xf>
    <xf numFmtId="0" fontId="47" fillId="0" borderId="0" xfId="0" applyFont="1" applyAlignment="1">
      <alignment horizontal="center" wrapText="1"/>
    </xf>
    <xf numFmtId="0" fontId="46" fillId="0" borderId="0" xfId="0" applyFont="1" applyAlignment="1">
      <alignment horizontal="center" wrapText="1"/>
    </xf>
    <xf numFmtId="4" fontId="17" fillId="0" borderId="2" xfId="0" applyNumberFormat="1" applyFont="1" applyBorder="1" applyAlignment="1">
      <alignment horizontal="center"/>
    </xf>
    <xf numFmtId="4" fontId="17" fillId="0" borderId="0" xfId="0" applyNumberFormat="1" applyFont="1" applyAlignment="1">
      <alignment horizontal="center"/>
    </xf>
    <xf numFmtId="2" fontId="17" fillId="0" borderId="2" xfId="0" applyNumberFormat="1" applyFont="1" applyBorder="1" applyAlignment="1">
      <alignment horizontal="center"/>
    </xf>
    <xf numFmtId="10" fontId="18" fillId="0" borderId="2" xfId="0" applyNumberFormat="1" applyFont="1" applyBorder="1" applyAlignment="1">
      <alignment horizontal="center"/>
    </xf>
    <xf numFmtId="0" fontId="52" fillId="9" borderId="8" xfId="0" applyFont="1" applyFill="1" applyBorder="1" applyAlignment="1">
      <alignment vertical="center"/>
    </xf>
    <xf numFmtId="0" fontId="23" fillId="0" borderId="2" xfId="0" applyFont="1" applyBorder="1" applyAlignment="1">
      <alignment horizontal="center"/>
    </xf>
    <xf numFmtId="0" fontId="53" fillId="9" borderId="8" xfId="0" applyFont="1" applyFill="1" applyBorder="1" applyAlignment="1">
      <alignment horizontal="left" vertical="center"/>
    </xf>
    <xf numFmtId="0" fontId="22" fillId="0" borderId="2" xfId="0" applyFont="1" applyBorder="1" applyAlignment="1">
      <alignment horizontal="center"/>
    </xf>
    <xf numFmtId="0" fontId="8" fillId="0" borderId="1" xfId="0" applyFont="1" applyBorder="1" applyAlignment="1">
      <alignment horizontal="center"/>
    </xf>
    <xf numFmtId="0" fontId="0" fillId="0" borderId="0" xfId="0" applyAlignment="1">
      <alignment horizontal="center"/>
    </xf>
    <xf numFmtId="0" fontId="0" fillId="0" borderId="8" xfId="0" applyBorder="1" applyAlignment="1">
      <alignment horizontal="center" vertical="center"/>
    </xf>
    <xf numFmtId="0" fontId="8" fillId="0" borderId="2" xfId="0" applyFont="1" applyBorder="1" applyAlignment="1">
      <alignment horizontal="center"/>
    </xf>
    <xf numFmtId="0" fontId="52" fillId="9" borderId="8" xfId="0" applyFont="1" applyFill="1" applyBorder="1" applyAlignment="1">
      <alignment horizontal="left" vertical="center"/>
    </xf>
    <xf numFmtId="0" fontId="5" fillId="0" borderId="8" xfId="0" applyFont="1" applyBorder="1" applyAlignment="1">
      <alignment horizontal="center" vertical="center" wrapText="1"/>
    </xf>
  </cellXfs>
  <cellStyles count="4">
    <cellStyle name="Comma" xfId="1" builtinId="3"/>
    <cellStyle name="Normal" xfId="0" builtinId="0"/>
    <cellStyle name="Normal 2" xfId="2"/>
    <cellStyle name="Normal 3" xfId="3"/>
  </cellStyles>
  <dxfs count="4">
    <dxf>
      <font>
        <color rgb="FFFF0000"/>
      </font>
      <fill>
        <patternFill patternType="none"/>
      </fill>
    </dxf>
    <dxf>
      <font>
        <color rgb="FFFF0000"/>
      </font>
      <fill>
        <patternFill patternType="none"/>
      </fill>
    </dxf>
    <dxf>
      <font>
        <color rgb="FFFF0000"/>
      </font>
      <fill>
        <patternFill patternType="none"/>
      </fill>
    </dxf>
    <dxf>
      <font>
        <color rgb="FF9C0006"/>
      </font>
      <fill>
        <patternFill patternType="solid">
          <fgColor rgb="FFFFC7CE"/>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ikhil\Desktop\VISHVJEET\Chaskarji\Dharti%20FPC\Dharti%20FP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Nikhil\Desktop\VISHVJEET\Chaskarji\Water\kRUSHIYUG\Krushiyug%20FPC.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Land and Building"/>
      <sheetName val="Machinery and Equipment"/>
      <sheetName val="P&amp;P Expenses"/>
      <sheetName val="Working Capital"/>
      <sheetName val="Total Cost of Project"/>
      <sheetName val="Means of Finance"/>
      <sheetName val="Project Glance"/>
      <sheetName val="TL repayment sch"/>
      <sheetName val="Activity  4 Dal Mill"/>
      <sheetName val="Activity 7  Neem Oil and Pwder"/>
      <sheetName val="Activity 3"/>
      <sheetName val="Activity 3 C &amp; G"/>
      <sheetName val="Activity 6 Wooden Oil Extractio"/>
      <sheetName val="Activity 8 Custom Hiring"/>
      <sheetName val="Activity 2 Vegetable "/>
      <sheetName val="Activity 1 Agri Input"/>
      <sheetName val="Cons Profit &amp; Loss"/>
      <sheetName val="Admin Exp"/>
      <sheetName val="IRR"/>
      <sheetName val="BEP"/>
      <sheetName val="NPV"/>
      <sheetName val="ROI"/>
      <sheetName val="Output"/>
      <sheetName val="Sheet1"/>
      <sheetName val="Depreciation"/>
      <sheetName val="Tax"/>
      <sheetName val="Cash Flow (2)"/>
      <sheetName val="Balance Sheet"/>
      <sheetName val="Financial Indicator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investopedia.com/terms/d/discountrate.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K100"/>
  <sheetViews>
    <sheetView view="pageBreakPreview" zoomScale="60" workbookViewId="0">
      <selection sqref="A1:E1"/>
    </sheetView>
  </sheetViews>
  <sheetFormatPr defaultColWidth="14.42578125" defaultRowHeight="15" customHeight="1"/>
  <cols>
    <col min="1" max="1" width="12.85546875" customWidth="1"/>
    <col min="2" max="2" width="56" customWidth="1"/>
    <col min="3" max="3" width="26.28515625" customWidth="1"/>
    <col min="4" max="4" width="20.7109375" customWidth="1"/>
    <col min="5" max="5" width="29.42578125" customWidth="1"/>
    <col min="6" max="11" width="9.140625" customWidth="1"/>
  </cols>
  <sheetData>
    <row r="1" spans="1:11" ht="26.25" customHeight="1">
      <c r="A1" s="325" t="s">
        <v>0</v>
      </c>
      <c r="B1" s="326"/>
      <c r="C1" s="326"/>
      <c r="D1" s="326"/>
      <c r="E1" s="326"/>
      <c r="F1" s="1"/>
      <c r="G1" s="1"/>
      <c r="H1" s="1"/>
      <c r="I1" s="1"/>
      <c r="J1" s="1"/>
      <c r="K1" s="1"/>
    </row>
    <row r="2" spans="1:11" ht="26.25" customHeight="1">
      <c r="A2" s="327" t="s">
        <v>707</v>
      </c>
      <c r="B2" s="328"/>
      <c r="C2" s="328"/>
      <c r="D2" s="328"/>
      <c r="E2" s="329"/>
      <c r="F2" s="1"/>
      <c r="G2" s="1"/>
      <c r="H2" s="1"/>
      <c r="I2" s="1"/>
      <c r="J2" s="1"/>
      <c r="K2" s="1"/>
    </row>
    <row r="3" spans="1:11" ht="23.25" customHeight="1">
      <c r="A3" s="330" t="s">
        <v>1</v>
      </c>
      <c r="B3" s="328"/>
      <c r="C3" s="328"/>
      <c r="D3" s="328"/>
      <c r="E3" s="329"/>
      <c r="F3" s="1"/>
      <c r="G3" s="1"/>
      <c r="H3" s="1"/>
      <c r="I3" s="1"/>
      <c r="J3" s="1"/>
      <c r="K3" s="1"/>
    </row>
    <row r="4" spans="1:11" ht="240.75" customHeight="1">
      <c r="A4" s="331" t="s">
        <v>2</v>
      </c>
      <c r="B4" s="328"/>
      <c r="C4" s="328"/>
      <c r="D4" s="328"/>
      <c r="E4" s="329"/>
      <c r="F4" s="1"/>
      <c r="G4" s="1"/>
      <c r="H4" s="1"/>
      <c r="I4" s="1"/>
      <c r="J4" s="1"/>
      <c r="K4" s="1"/>
    </row>
    <row r="5" spans="1:11" ht="23.25" customHeight="1">
      <c r="A5" s="330" t="s">
        <v>3</v>
      </c>
      <c r="B5" s="328"/>
      <c r="C5" s="328"/>
      <c r="D5" s="328"/>
      <c r="E5" s="329"/>
      <c r="F5" s="1"/>
      <c r="G5" s="1"/>
      <c r="H5" s="1"/>
      <c r="I5" s="1"/>
      <c r="J5" s="1"/>
      <c r="K5" s="1"/>
    </row>
    <row r="6" spans="1:11" ht="108" customHeight="1">
      <c r="A6" s="331" t="s">
        <v>4</v>
      </c>
      <c r="B6" s="328"/>
      <c r="C6" s="328"/>
      <c r="D6" s="328"/>
      <c r="E6" s="329"/>
      <c r="F6" s="1"/>
      <c r="G6" s="1"/>
      <c r="H6" s="1"/>
      <c r="I6" s="1"/>
      <c r="J6" s="1"/>
      <c r="K6" s="1"/>
    </row>
    <row r="7" spans="1:11" ht="23.25" customHeight="1">
      <c r="A7" s="336" t="s">
        <v>5</v>
      </c>
      <c r="B7" s="328"/>
      <c r="C7" s="328"/>
      <c r="D7" s="328"/>
      <c r="E7" s="329"/>
      <c r="F7" s="1"/>
      <c r="G7" s="1"/>
      <c r="H7" s="1"/>
      <c r="I7" s="1"/>
      <c r="J7" s="1"/>
      <c r="K7" s="1"/>
    </row>
    <row r="8" spans="1:11" ht="125.25" customHeight="1">
      <c r="A8" s="331" t="s">
        <v>6</v>
      </c>
      <c r="B8" s="328"/>
      <c r="C8" s="328"/>
      <c r="D8" s="328"/>
      <c r="E8" s="329"/>
      <c r="F8" s="1"/>
      <c r="G8" s="1"/>
      <c r="H8" s="1"/>
      <c r="I8" s="1"/>
      <c r="J8" s="1"/>
      <c r="K8" s="1"/>
    </row>
    <row r="9" spans="1:11">
      <c r="A9" s="330" t="s">
        <v>7</v>
      </c>
      <c r="B9" s="328"/>
      <c r="C9" s="328"/>
      <c r="D9" s="328"/>
      <c r="E9" s="329"/>
      <c r="F9" s="1"/>
      <c r="G9" s="1"/>
      <c r="H9" s="1"/>
      <c r="I9" s="1"/>
      <c r="J9" s="1"/>
      <c r="K9" s="1"/>
    </row>
    <row r="10" spans="1:11">
      <c r="A10" s="1" t="s">
        <v>8</v>
      </c>
      <c r="B10" s="1" t="s">
        <v>9</v>
      </c>
      <c r="C10" s="1"/>
      <c r="D10" s="1"/>
      <c r="E10" s="1"/>
      <c r="F10" s="1"/>
      <c r="G10" s="1"/>
      <c r="H10" s="1"/>
      <c r="I10" s="1"/>
      <c r="J10" s="1"/>
      <c r="K10" s="1"/>
    </row>
    <row r="11" spans="1:11" ht="20.25" customHeight="1">
      <c r="A11" s="2"/>
      <c r="B11" s="337" t="s">
        <v>10</v>
      </c>
      <c r="C11" s="328"/>
      <c r="D11" s="328"/>
      <c r="E11" s="329"/>
      <c r="F11" s="1"/>
      <c r="G11" s="1"/>
      <c r="H11" s="1"/>
      <c r="I11" s="1"/>
      <c r="J11" s="1"/>
      <c r="K11" s="1"/>
    </row>
    <row r="12" spans="1:11">
      <c r="A12" s="3"/>
      <c r="B12" s="337" t="s">
        <v>11</v>
      </c>
      <c r="C12" s="328"/>
      <c r="D12" s="328"/>
      <c r="E12" s="329"/>
      <c r="F12" s="1"/>
      <c r="G12" s="1"/>
      <c r="H12" s="1"/>
      <c r="I12" s="1"/>
      <c r="J12" s="1"/>
      <c r="K12" s="1"/>
    </row>
    <row r="13" spans="1:11">
      <c r="A13" s="335"/>
      <c r="B13" s="328"/>
      <c r="C13" s="328"/>
      <c r="D13" s="328"/>
      <c r="E13" s="329"/>
      <c r="F13" s="1"/>
      <c r="G13" s="1"/>
      <c r="H13" s="1"/>
      <c r="I13" s="1"/>
      <c r="J13" s="1"/>
      <c r="K13" s="1"/>
    </row>
    <row r="14" spans="1:11">
      <c r="A14" s="330" t="s">
        <v>12</v>
      </c>
      <c r="B14" s="328"/>
      <c r="C14" s="328"/>
      <c r="D14" s="328"/>
      <c r="E14" s="329"/>
      <c r="F14" s="1"/>
      <c r="G14" s="1"/>
      <c r="H14" s="1"/>
      <c r="I14" s="1"/>
      <c r="J14" s="1"/>
      <c r="K14" s="1"/>
    </row>
    <row r="15" spans="1:11">
      <c r="A15" s="4" t="s">
        <v>13</v>
      </c>
      <c r="B15" s="4" t="s">
        <v>14</v>
      </c>
      <c r="C15" s="4" t="s">
        <v>15</v>
      </c>
      <c r="D15" s="4" t="s">
        <v>16</v>
      </c>
      <c r="E15" s="4" t="s">
        <v>17</v>
      </c>
      <c r="F15" s="1"/>
      <c r="G15" s="1"/>
      <c r="H15" s="1"/>
      <c r="I15" s="1"/>
      <c r="J15" s="1"/>
      <c r="K15" s="1"/>
    </row>
    <row r="16" spans="1:11">
      <c r="A16" s="5" t="s">
        <v>18</v>
      </c>
      <c r="B16" s="5" t="s">
        <v>19</v>
      </c>
      <c r="C16" s="5"/>
      <c r="D16" s="5"/>
      <c r="E16" s="5"/>
      <c r="F16" s="1"/>
      <c r="G16" s="1"/>
      <c r="H16" s="1"/>
      <c r="I16" s="1"/>
      <c r="J16" s="1"/>
      <c r="K16" s="1"/>
    </row>
    <row r="17" spans="1:11" ht="60">
      <c r="A17" s="6" t="s">
        <v>20</v>
      </c>
      <c r="B17" s="7" t="s">
        <v>708</v>
      </c>
      <c r="C17" s="7" t="s">
        <v>21</v>
      </c>
      <c r="D17" s="7" t="s">
        <v>22</v>
      </c>
      <c r="E17" s="7"/>
      <c r="F17" s="1"/>
      <c r="G17" s="1"/>
      <c r="H17" s="1"/>
      <c r="I17" s="1"/>
      <c r="J17" s="1"/>
      <c r="K17" s="1"/>
    </row>
    <row r="18" spans="1:11" ht="90">
      <c r="A18" s="6" t="s">
        <v>23</v>
      </c>
      <c r="B18" s="7" t="s">
        <v>24</v>
      </c>
      <c r="C18" s="7" t="s">
        <v>25</v>
      </c>
      <c r="D18" s="7" t="s">
        <v>26</v>
      </c>
      <c r="E18" s="7"/>
      <c r="F18" s="1"/>
      <c r="G18" s="1"/>
      <c r="H18" s="1"/>
      <c r="I18" s="1"/>
      <c r="J18" s="1"/>
      <c r="K18" s="1"/>
    </row>
    <row r="19" spans="1:11" ht="26.25" customHeight="1">
      <c r="A19" s="6" t="s">
        <v>27</v>
      </c>
      <c r="B19" s="8" t="s">
        <v>28</v>
      </c>
      <c r="C19" s="7" t="s">
        <v>29</v>
      </c>
      <c r="D19" s="7" t="s">
        <v>30</v>
      </c>
      <c r="E19" s="7" t="s">
        <v>31</v>
      </c>
      <c r="F19" s="1"/>
      <c r="G19" s="1"/>
      <c r="H19" s="1"/>
      <c r="I19" s="1"/>
      <c r="J19" s="1"/>
      <c r="K19" s="1"/>
    </row>
    <row r="20" spans="1:11" ht="30">
      <c r="A20" s="6" t="s">
        <v>32</v>
      </c>
      <c r="B20" s="7" t="s">
        <v>33</v>
      </c>
      <c r="C20" s="7"/>
      <c r="D20" s="7"/>
      <c r="E20" s="7"/>
      <c r="F20" s="1"/>
      <c r="G20" s="1"/>
      <c r="H20" s="1"/>
      <c r="I20" s="1"/>
      <c r="J20" s="1"/>
      <c r="K20" s="1"/>
    </row>
    <row r="21" spans="1:11" ht="15.75" customHeight="1">
      <c r="A21" s="7">
        <v>4.0999999999999996</v>
      </c>
      <c r="B21" s="7" t="s">
        <v>732</v>
      </c>
      <c r="C21" s="332" t="s">
        <v>34</v>
      </c>
      <c r="D21" s="7" t="s">
        <v>35</v>
      </c>
      <c r="E21" s="7"/>
      <c r="F21" s="1"/>
      <c r="G21" s="1"/>
      <c r="H21" s="1"/>
      <c r="I21" s="1"/>
      <c r="J21" s="1"/>
      <c r="K21" s="1"/>
    </row>
    <row r="22" spans="1:11" ht="15.75" customHeight="1">
      <c r="A22" s="7">
        <v>4.2</v>
      </c>
      <c r="B22" s="7" t="s">
        <v>36</v>
      </c>
      <c r="C22" s="333"/>
      <c r="D22" s="7" t="s">
        <v>37</v>
      </c>
      <c r="E22" s="7"/>
      <c r="F22" s="1"/>
      <c r="G22" s="1"/>
      <c r="H22" s="1"/>
      <c r="I22" s="1"/>
      <c r="J22" s="1"/>
      <c r="K22" s="1"/>
    </row>
    <row r="23" spans="1:11" ht="15.75" customHeight="1">
      <c r="A23" s="7">
        <v>4.3</v>
      </c>
      <c r="B23" s="7" t="s">
        <v>38</v>
      </c>
      <c r="C23" s="333"/>
      <c r="D23" s="7" t="s">
        <v>39</v>
      </c>
      <c r="E23" s="7"/>
      <c r="F23" s="1"/>
      <c r="G23" s="1"/>
      <c r="H23" s="1"/>
      <c r="I23" s="1"/>
      <c r="J23" s="1"/>
      <c r="K23" s="1"/>
    </row>
    <row r="24" spans="1:11" ht="15.75" customHeight="1">
      <c r="A24" s="7">
        <v>4.4000000000000004</v>
      </c>
      <c r="B24" s="7" t="s">
        <v>40</v>
      </c>
      <c r="C24" s="333"/>
      <c r="D24" s="7" t="s">
        <v>41</v>
      </c>
      <c r="E24" s="7"/>
      <c r="F24" s="1"/>
      <c r="G24" s="1"/>
      <c r="H24" s="1"/>
      <c r="I24" s="1"/>
      <c r="J24" s="1"/>
      <c r="K24" s="1"/>
    </row>
    <row r="25" spans="1:11" ht="15.75" customHeight="1">
      <c r="A25" s="7">
        <v>4.5</v>
      </c>
      <c r="B25" s="7" t="s">
        <v>42</v>
      </c>
      <c r="C25" s="333"/>
      <c r="D25" s="7" t="s">
        <v>43</v>
      </c>
      <c r="E25" s="7"/>
      <c r="F25" s="1"/>
      <c r="G25" s="1"/>
      <c r="H25" s="1"/>
      <c r="I25" s="1"/>
      <c r="J25" s="1"/>
      <c r="K25" s="1"/>
    </row>
    <row r="26" spans="1:11" ht="15.75" customHeight="1">
      <c r="A26" s="7"/>
      <c r="B26" s="7"/>
      <c r="C26" s="334"/>
      <c r="D26" s="7"/>
      <c r="E26" s="7"/>
      <c r="F26" s="1"/>
      <c r="G26" s="1"/>
      <c r="H26" s="1"/>
      <c r="I26" s="1"/>
      <c r="J26" s="1"/>
      <c r="K26" s="1"/>
    </row>
    <row r="27" spans="1:11" ht="27" customHeight="1">
      <c r="A27" s="6" t="s">
        <v>44</v>
      </c>
      <c r="B27" s="7" t="s">
        <v>45</v>
      </c>
      <c r="C27" s="7" t="s">
        <v>46</v>
      </c>
      <c r="D27" s="7" t="s">
        <v>47</v>
      </c>
      <c r="E27" s="7"/>
      <c r="F27" s="1"/>
      <c r="G27" s="1"/>
      <c r="H27" s="1"/>
      <c r="I27" s="1"/>
      <c r="J27" s="1"/>
      <c r="K27" s="1"/>
    </row>
    <row r="28" spans="1:11" ht="28.5" customHeight="1">
      <c r="A28" s="6" t="s">
        <v>48</v>
      </c>
      <c r="B28" s="7" t="s">
        <v>49</v>
      </c>
      <c r="C28" s="7" t="s">
        <v>50</v>
      </c>
      <c r="D28" s="7" t="s">
        <v>51</v>
      </c>
      <c r="E28" s="7"/>
      <c r="F28" s="1"/>
      <c r="G28" s="1"/>
      <c r="H28" s="1"/>
      <c r="I28" s="1"/>
      <c r="J28" s="1"/>
      <c r="K28" s="1"/>
    </row>
    <row r="29" spans="1:11" ht="27.6" customHeight="1">
      <c r="A29" s="6" t="s">
        <v>52</v>
      </c>
      <c r="B29" s="7" t="s">
        <v>53</v>
      </c>
      <c r="C29" s="7" t="s">
        <v>54</v>
      </c>
      <c r="D29" s="7" t="s">
        <v>55</v>
      </c>
      <c r="E29" s="7"/>
      <c r="F29" s="1"/>
      <c r="G29" s="1"/>
      <c r="H29" s="1"/>
      <c r="I29" s="1"/>
      <c r="J29" s="1"/>
      <c r="K29" s="1"/>
    </row>
    <row r="30" spans="1:11" ht="15.75" customHeight="1">
      <c r="A30" s="5" t="s">
        <v>56</v>
      </c>
      <c r="B30" s="9" t="s">
        <v>57</v>
      </c>
      <c r="C30" s="5"/>
      <c r="D30" s="5"/>
      <c r="E30" s="5"/>
      <c r="F30" s="1"/>
      <c r="G30" s="1"/>
      <c r="H30" s="1"/>
      <c r="I30" s="1"/>
      <c r="J30" s="1"/>
      <c r="K30" s="1"/>
    </row>
    <row r="31" spans="1:11" ht="26.25" customHeight="1">
      <c r="A31" s="10" t="s">
        <v>58</v>
      </c>
      <c r="B31" s="7" t="s">
        <v>59</v>
      </c>
      <c r="C31" s="7"/>
      <c r="D31" s="7" t="s">
        <v>60</v>
      </c>
      <c r="E31" s="7" t="s">
        <v>31</v>
      </c>
      <c r="F31" s="1"/>
      <c r="G31" s="1"/>
      <c r="H31" s="1"/>
      <c r="I31" s="1"/>
      <c r="J31" s="1"/>
      <c r="K31" s="1"/>
    </row>
    <row r="32" spans="1:11" ht="15.75" customHeight="1">
      <c r="A32" s="10" t="s">
        <v>61</v>
      </c>
      <c r="B32" s="7" t="s">
        <v>62</v>
      </c>
      <c r="C32" s="7"/>
      <c r="D32" s="7" t="s">
        <v>63</v>
      </c>
      <c r="E32" s="7" t="s">
        <v>31</v>
      </c>
      <c r="F32" s="1"/>
      <c r="G32" s="1"/>
      <c r="H32" s="1"/>
      <c r="I32" s="1"/>
      <c r="J32" s="1"/>
      <c r="K32" s="1"/>
    </row>
    <row r="33" spans="1:11" ht="15.75" customHeight="1">
      <c r="A33" s="10" t="s">
        <v>64</v>
      </c>
      <c r="B33" s="7" t="s">
        <v>65</v>
      </c>
      <c r="C33" s="7"/>
      <c r="D33" s="7" t="s">
        <v>66</v>
      </c>
      <c r="E33" s="7" t="s">
        <v>31</v>
      </c>
      <c r="F33" s="1"/>
      <c r="G33" s="1"/>
      <c r="H33" s="1"/>
      <c r="I33" s="1"/>
      <c r="J33" s="1"/>
      <c r="K33" s="1"/>
    </row>
    <row r="34" spans="1:11" ht="35.25" customHeight="1">
      <c r="A34" s="10" t="s">
        <v>67</v>
      </c>
      <c r="B34" s="7" t="s">
        <v>68</v>
      </c>
      <c r="C34" s="7"/>
      <c r="D34" s="7" t="s">
        <v>69</v>
      </c>
      <c r="E34" s="7" t="s">
        <v>31</v>
      </c>
      <c r="F34" s="1"/>
      <c r="G34" s="1"/>
      <c r="H34" s="1"/>
      <c r="I34" s="1"/>
      <c r="J34" s="1"/>
      <c r="K34" s="1"/>
    </row>
    <row r="35" spans="1:11" ht="35.25" customHeight="1">
      <c r="A35" s="10" t="s">
        <v>70</v>
      </c>
      <c r="B35" s="7" t="s">
        <v>71</v>
      </c>
      <c r="C35" s="7"/>
      <c r="D35" s="7" t="s">
        <v>72</v>
      </c>
      <c r="E35" s="7" t="s">
        <v>31</v>
      </c>
      <c r="F35" s="1"/>
      <c r="G35" s="1"/>
      <c r="H35" s="1"/>
      <c r="I35" s="1"/>
      <c r="J35" s="1"/>
      <c r="K35" s="1"/>
    </row>
    <row r="36" spans="1:11" ht="15.75" customHeight="1">
      <c r="A36" s="6" t="s">
        <v>73</v>
      </c>
      <c r="B36" s="7" t="s">
        <v>74</v>
      </c>
      <c r="C36" s="7"/>
      <c r="D36" s="7"/>
      <c r="E36" s="7"/>
      <c r="F36" s="1"/>
      <c r="G36" s="1"/>
      <c r="H36" s="1"/>
      <c r="I36" s="1"/>
      <c r="J36" s="1"/>
      <c r="K36" s="1"/>
    </row>
    <row r="37" spans="1:11" ht="15.75" customHeight="1">
      <c r="A37" s="323"/>
      <c r="B37" s="324"/>
      <c r="C37" s="324"/>
      <c r="D37" s="324"/>
      <c r="E37" s="324"/>
      <c r="F37" s="1"/>
      <c r="G37" s="1"/>
      <c r="H37" s="1"/>
      <c r="I37" s="1"/>
      <c r="J37" s="1"/>
      <c r="K37" s="1"/>
    </row>
    <row r="38" spans="1:11" ht="15.75" customHeight="1">
      <c r="A38" s="1"/>
      <c r="B38" s="1"/>
      <c r="C38" s="1"/>
      <c r="D38" s="1"/>
      <c r="E38" s="1"/>
      <c r="F38" s="1"/>
      <c r="G38" s="1"/>
      <c r="H38" s="1"/>
      <c r="I38" s="1"/>
      <c r="J38" s="1"/>
      <c r="K38" s="1"/>
    </row>
    <row r="39" spans="1:11" ht="15.75" customHeight="1">
      <c r="A39" s="1"/>
      <c r="B39" s="1"/>
      <c r="C39" s="1"/>
      <c r="D39" s="1"/>
      <c r="E39" s="1"/>
      <c r="F39" s="1"/>
      <c r="G39" s="1"/>
      <c r="H39" s="1"/>
      <c r="I39" s="1"/>
      <c r="J39" s="1"/>
      <c r="K39" s="1"/>
    </row>
    <row r="40" spans="1:11" ht="15.75" customHeight="1">
      <c r="A40" s="1"/>
      <c r="B40" s="1"/>
      <c r="C40" s="1"/>
      <c r="D40" s="1"/>
      <c r="E40" s="1"/>
      <c r="F40" s="1"/>
      <c r="G40" s="1"/>
      <c r="H40" s="1"/>
      <c r="I40" s="1"/>
      <c r="J40" s="1"/>
      <c r="K40" s="1"/>
    </row>
    <row r="41" spans="1:11" ht="15.75" customHeight="1">
      <c r="A41" s="1"/>
      <c r="B41" s="1"/>
      <c r="C41" s="1"/>
      <c r="D41" s="1"/>
      <c r="E41" s="1"/>
      <c r="F41" s="1"/>
      <c r="G41" s="1"/>
      <c r="H41" s="1"/>
      <c r="I41" s="1"/>
      <c r="J41" s="1"/>
      <c r="K41" s="1"/>
    </row>
    <row r="42" spans="1:11" ht="15.75" customHeight="1">
      <c r="A42" s="1"/>
      <c r="B42" s="1"/>
      <c r="C42" s="1"/>
      <c r="D42" s="1"/>
      <c r="E42" s="1"/>
      <c r="F42" s="1"/>
      <c r="G42" s="1"/>
      <c r="H42" s="1"/>
      <c r="I42" s="1"/>
      <c r="J42" s="1"/>
      <c r="K42" s="1"/>
    </row>
    <row r="43" spans="1:11" ht="15.75" customHeight="1">
      <c r="A43" s="1"/>
      <c r="B43" s="1"/>
      <c r="C43" s="1"/>
      <c r="D43" s="1"/>
      <c r="E43" s="1"/>
      <c r="F43" s="1"/>
      <c r="G43" s="1"/>
      <c r="H43" s="1"/>
      <c r="I43" s="1"/>
      <c r="J43" s="1"/>
      <c r="K43" s="1"/>
    </row>
    <row r="44" spans="1:11" ht="15.75" customHeight="1">
      <c r="A44" s="1"/>
      <c r="B44" s="1"/>
      <c r="C44" s="1"/>
      <c r="D44" s="1"/>
      <c r="E44" s="1"/>
      <c r="F44" s="1"/>
      <c r="G44" s="1"/>
      <c r="H44" s="1"/>
      <c r="I44" s="1"/>
      <c r="J44" s="1"/>
      <c r="K44" s="1"/>
    </row>
    <row r="45" spans="1:11" ht="15.75" customHeight="1">
      <c r="A45" s="1"/>
      <c r="B45" s="1"/>
      <c r="C45" s="1"/>
      <c r="D45" s="1"/>
      <c r="E45" s="1"/>
      <c r="F45" s="1"/>
      <c r="G45" s="1"/>
      <c r="H45" s="1"/>
      <c r="I45" s="1"/>
      <c r="J45" s="1"/>
      <c r="K45" s="1"/>
    </row>
    <row r="46" spans="1:11" ht="15.75" customHeight="1">
      <c r="A46" s="1"/>
      <c r="B46" s="1"/>
      <c r="C46" s="1"/>
      <c r="D46" s="1"/>
      <c r="E46" s="1"/>
      <c r="F46" s="1"/>
      <c r="G46" s="1"/>
      <c r="H46" s="1"/>
      <c r="I46" s="1"/>
      <c r="J46" s="1"/>
      <c r="K46" s="1"/>
    </row>
    <row r="47" spans="1:11" ht="15.75" customHeight="1">
      <c r="A47" s="1"/>
      <c r="B47" s="1"/>
      <c r="C47" s="1"/>
      <c r="D47" s="1"/>
      <c r="E47" s="1"/>
      <c r="F47" s="1"/>
      <c r="G47" s="1"/>
      <c r="H47" s="1"/>
      <c r="I47" s="1"/>
      <c r="J47" s="1"/>
      <c r="K47" s="1"/>
    </row>
    <row r="48" spans="1:11" ht="15.75" customHeight="1">
      <c r="A48" s="1"/>
      <c r="B48" s="1"/>
      <c r="C48" s="1"/>
      <c r="D48" s="1"/>
      <c r="E48" s="1"/>
      <c r="F48" s="1"/>
      <c r="G48" s="1"/>
      <c r="H48" s="1"/>
      <c r="I48" s="1"/>
      <c r="J48" s="1"/>
      <c r="K48" s="1"/>
    </row>
    <row r="49" spans="1:11" ht="15.75" customHeight="1">
      <c r="A49" s="1"/>
      <c r="B49" s="1"/>
      <c r="C49" s="1"/>
      <c r="D49" s="1"/>
      <c r="E49" s="1"/>
      <c r="F49" s="1"/>
      <c r="G49" s="1"/>
      <c r="H49" s="1"/>
      <c r="I49" s="1"/>
      <c r="J49" s="1"/>
      <c r="K49" s="1"/>
    </row>
    <row r="50" spans="1:11" ht="15.75" customHeight="1">
      <c r="A50" s="1"/>
      <c r="B50" s="1"/>
      <c r="C50" s="1"/>
      <c r="D50" s="1"/>
      <c r="E50" s="1"/>
      <c r="F50" s="1"/>
      <c r="G50" s="1"/>
      <c r="H50" s="1"/>
      <c r="I50" s="1"/>
      <c r="J50" s="1"/>
      <c r="K50" s="1"/>
    </row>
    <row r="51" spans="1:11" ht="15.75" customHeight="1">
      <c r="A51" s="1"/>
      <c r="B51" s="1"/>
      <c r="C51" s="1"/>
      <c r="D51" s="1"/>
      <c r="E51" s="1"/>
      <c r="F51" s="1"/>
      <c r="G51" s="1"/>
      <c r="H51" s="1"/>
      <c r="I51" s="1"/>
      <c r="J51" s="1"/>
      <c r="K51" s="1"/>
    </row>
    <row r="52" spans="1:11" ht="15.75" customHeight="1">
      <c r="A52" s="1"/>
      <c r="B52" s="1"/>
      <c r="C52" s="1"/>
      <c r="D52" s="1"/>
      <c r="E52" s="1"/>
      <c r="F52" s="1"/>
      <c r="G52" s="1"/>
      <c r="H52" s="1"/>
      <c r="I52" s="1"/>
      <c r="J52" s="1"/>
      <c r="K52" s="1"/>
    </row>
    <row r="53" spans="1:11" ht="15.75" customHeight="1">
      <c r="A53" s="1"/>
      <c r="B53" s="1"/>
      <c r="C53" s="1"/>
      <c r="D53" s="1"/>
      <c r="E53" s="1"/>
      <c r="F53" s="1"/>
      <c r="G53" s="1"/>
      <c r="H53" s="1"/>
      <c r="I53" s="1"/>
      <c r="J53" s="1"/>
      <c r="K53" s="1"/>
    </row>
    <row r="54" spans="1:11" ht="15.75" customHeight="1">
      <c r="A54" s="1"/>
      <c r="B54" s="1"/>
      <c r="C54" s="1"/>
      <c r="D54" s="1"/>
      <c r="E54" s="1"/>
      <c r="F54" s="1"/>
      <c r="G54" s="1"/>
      <c r="H54" s="1"/>
      <c r="I54" s="1"/>
      <c r="J54" s="1"/>
      <c r="K54" s="1"/>
    </row>
    <row r="55" spans="1:11" ht="15.75" customHeight="1">
      <c r="A55" s="1"/>
      <c r="B55" s="1"/>
      <c r="C55" s="1"/>
      <c r="D55" s="1"/>
      <c r="E55" s="1"/>
      <c r="F55" s="1"/>
      <c r="G55" s="1"/>
      <c r="H55" s="1"/>
      <c r="I55" s="1"/>
      <c r="J55" s="1"/>
      <c r="K55" s="1"/>
    </row>
    <row r="56" spans="1:11" ht="15.75" customHeight="1">
      <c r="A56" s="1"/>
      <c r="B56" s="1"/>
      <c r="C56" s="1"/>
      <c r="D56" s="1"/>
      <c r="E56" s="1"/>
      <c r="F56" s="1"/>
      <c r="G56" s="1"/>
      <c r="H56" s="1"/>
      <c r="I56" s="1"/>
      <c r="J56" s="1"/>
      <c r="K56" s="1"/>
    </row>
    <row r="57" spans="1:11" ht="15.75" customHeight="1">
      <c r="A57" s="1"/>
      <c r="B57" s="1"/>
      <c r="C57" s="1"/>
      <c r="D57" s="1"/>
      <c r="E57" s="1"/>
      <c r="F57" s="1"/>
      <c r="G57" s="1"/>
      <c r="H57" s="1"/>
      <c r="I57" s="1"/>
      <c r="J57" s="1"/>
      <c r="K57" s="1"/>
    </row>
    <row r="58" spans="1:11" ht="15.75" customHeight="1">
      <c r="A58" s="1"/>
      <c r="B58" s="1"/>
      <c r="C58" s="1"/>
      <c r="D58" s="1"/>
      <c r="E58" s="1"/>
      <c r="F58" s="1"/>
      <c r="G58" s="1"/>
      <c r="H58" s="1"/>
      <c r="I58" s="1"/>
      <c r="J58" s="1"/>
      <c r="K58" s="1"/>
    </row>
    <row r="59" spans="1:11" ht="15.75" customHeight="1">
      <c r="A59" s="1"/>
      <c r="B59" s="1"/>
      <c r="C59" s="1"/>
      <c r="D59" s="1"/>
      <c r="E59" s="1"/>
      <c r="F59" s="1"/>
      <c r="G59" s="1"/>
      <c r="H59" s="1"/>
      <c r="I59" s="1"/>
      <c r="J59" s="1"/>
      <c r="K59" s="1"/>
    </row>
    <row r="60" spans="1:11" ht="15.75" customHeight="1">
      <c r="A60" s="1"/>
      <c r="B60" s="1"/>
      <c r="C60" s="1"/>
      <c r="D60" s="1"/>
      <c r="E60" s="1"/>
      <c r="F60" s="1"/>
      <c r="G60" s="1"/>
      <c r="H60" s="1"/>
      <c r="I60" s="1"/>
      <c r="J60" s="1"/>
      <c r="K60" s="1"/>
    </row>
    <row r="61" spans="1:11" ht="15.75" customHeight="1">
      <c r="A61" s="1"/>
      <c r="B61" s="1"/>
      <c r="C61" s="1"/>
      <c r="D61" s="1"/>
      <c r="E61" s="1"/>
      <c r="F61" s="1"/>
      <c r="G61" s="1"/>
      <c r="H61" s="1"/>
      <c r="I61" s="1"/>
      <c r="J61" s="1"/>
      <c r="K61" s="1"/>
    </row>
    <row r="62" spans="1:11" ht="15.75" customHeight="1">
      <c r="A62" s="1"/>
      <c r="B62" s="1"/>
      <c r="C62" s="1"/>
      <c r="D62" s="1"/>
      <c r="E62" s="1"/>
      <c r="F62" s="1"/>
      <c r="G62" s="1"/>
      <c r="H62" s="1"/>
      <c r="I62" s="1"/>
      <c r="J62" s="1"/>
      <c r="K62" s="1"/>
    </row>
    <row r="63" spans="1:11" ht="15.75" customHeight="1">
      <c r="A63" s="1"/>
      <c r="B63" s="1"/>
      <c r="C63" s="1"/>
      <c r="D63" s="1"/>
      <c r="E63" s="1"/>
      <c r="F63" s="1"/>
      <c r="G63" s="1"/>
      <c r="H63" s="1"/>
      <c r="I63" s="1"/>
      <c r="J63" s="1"/>
      <c r="K63" s="1"/>
    </row>
    <row r="64" spans="1:11" ht="15.75" customHeight="1">
      <c r="A64" s="1"/>
      <c r="B64" s="1"/>
      <c r="C64" s="1"/>
      <c r="D64" s="1"/>
      <c r="E64" s="1"/>
      <c r="F64" s="1"/>
      <c r="G64" s="1"/>
      <c r="H64" s="1"/>
      <c r="I64" s="1"/>
      <c r="J64" s="1"/>
      <c r="K64" s="1"/>
    </row>
    <row r="65" spans="1:11" ht="15.75" customHeight="1">
      <c r="A65" s="1"/>
      <c r="B65" s="1"/>
      <c r="C65" s="1"/>
      <c r="D65" s="1"/>
      <c r="E65" s="1"/>
      <c r="F65" s="1"/>
      <c r="G65" s="1"/>
      <c r="H65" s="1"/>
      <c r="I65" s="1"/>
      <c r="J65" s="1"/>
      <c r="K65" s="1"/>
    </row>
    <row r="66" spans="1:11" ht="15.75" customHeight="1">
      <c r="A66" s="1"/>
      <c r="B66" s="1"/>
      <c r="C66" s="1"/>
      <c r="D66" s="1"/>
      <c r="E66" s="1"/>
      <c r="F66" s="1"/>
      <c r="G66" s="1"/>
      <c r="H66" s="1"/>
      <c r="I66" s="1"/>
      <c r="J66" s="1"/>
      <c r="K66" s="1"/>
    </row>
    <row r="67" spans="1:11" ht="15.75" customHeight="1">
      <c r="A67" s="1"/>
      <c r="B67" s="1"/>
      <c r="C67" s="1"/>
      <c r="D67" s="1"/>
      <c r="E67" s="1"/>
      <c r="F67" s="1"/>
      <c r="G67" s="1"/>
      <c r="H67" s="1"/>
      <c r="I67" s="1"/>
      <c r="J67" s="1"/>
      <c r="K67" s="1"/>
    </row>
    <row r="68" spans="1:11" ht="15.75" customHeight="1">
      <c r="A68" s="1"/>
      <c r="B68" s="1"/>
      <c r="C68" s="1"/>
      <c r="D68" s="1"/>
      <c r="E68" s="1"/>
      <c r="F68" s="1"/>
      <c r="G68" s="1"/>
      <c r="H68" s="1"/>
      <c r="I68" s="1"/>
      <c r="J68" s="1"/>
      <c r="K68" s="1"/>
    </row>
    <row r="69" spans="1:11" ht="15.75" customHeight="1">
      <c r="A69" s="1"/>
      <c r="B69" s="1"/>
      <c r="C69" s="1"/>
      <c r="D69" s="1"/>
      <c r="E69" s="1"/>
      <c r="F69" s="1"/>
      <c r="G69" s="1"/>
      <c r="H69" s="1"/>
      <c r="I69" s="1"/>
      <c r="J69" s="1"/>
      <c r="K69" s="1"/>
    </row>
    <row r="70" spans="1:11" ht="15.75" customHeight="1">
      <c r="A70" s="1"/>
      <c r="B70" s="1"/>
      <c r="C70" s="1"/>
      <c r="D70" s="1"/>
      <c r="E70" s="1"/>
      <c r="F70" s="1"/>
      <c r="G70" s="1"/>
      <c r="H70" s="1"/>
      <c r="I70" s="1"/>
      <c r="J70" s="1"/>
      <c r="K70" s="1"/>
    </row>
    <row r="71" spans="1:11" ht="15.75" customHeight="1">
      <c r="A71" s="1"/>
      <c r="B71" s="1"/>
      <c r="C71" s="1"/>
      <c r="D71" s="1"/>
      <c r="E71" s="1"/>
      <c r="F71" s="1"/>
      <c r="G71" s="1"/>
      <c r="H71" s="1"/>
      <c r="I71" s="1"/>
      <c r="J71" s="1"/>
      <c r="K71" s="1"/>
    </row>
    <row r="72" spans="1:11" ht="15.75" customHeight="1">
      <c r="A72" s="1"/>
      <c r="B72" s="1"/>
      <c r="C72" s="1"/>
      <c r="D72" s="1"/>
      <c r="E72" s="1"/>
      <c r="F72" s="1"/>
      <c r="G72" s="1"/>
      <c r="H72" s="1"/>
      <c r="I72" s="1"/>
      <c r="J72" s="1"/>
      <c r="K72" s="1"/>
    </row>
    <row r="73" spans="1:11" ht="15.75" customHeight="1">
      <c r="A73" s="1"/>
      <c r="B73" s="1"/>
      <c r="C73" s="1"/>
      <c r="D73" s="1"/>
      <c r="E73" s="1"/>
      <c r="F73" s="1"/>
      <c r="G73" s="1"/>
      <c r="H73" s="1"/>
      <c r="I73" s="1"/>
      <c r="J73" s="1"/>
      <c r="K73" s="1"/>
    </row>
    <row r="74" spans="1:11" ht="15.75" customHeight="1">
      <c r="A74" s="1"/>
      <c r="B74" s="1"/>
      <c r="C74" s="1"/>
      <c r="D74" s="1"/>
      <c r="E74" s="1"/>
      <c r="F74" s="1"/>
      <c r="G74" s="1"/>
      <c r="H74" s="1"/>
      <c r="I74" s="1"/>
      <c r="J74" s="1"/>
      <c r="K74" s="1"/>
    </row>
    <row r="75" spans="1:11" ht="15.75" customHeight="1">
      <c r="A75" s="1"/>
      <c r="B75" s="1"/>
      <c r="C75" s="1"/>
      <c r="D75" s="1"/>
      <c r="E75" s="1"/>
      <c r="F75" s="1"/>
      <c r="G75" s="1"/>
      <c r="H75" s="1"/>
      <c r="I75" s="1"/>
      <c r="J75" s="1"/>
      <c r="K75" s="1"/>
    </row>
    <row r="76" spans="1:11" ht="15.75" customHeight="1">
      <c r="A76" s="1"/>
      <c r="B76" s="1"/>
      <c r="C76" s="1"/>
      <c r="D76" s="1"/>
      <c r="E76" s="1"/>
      <c r="F76" s="1"/>
      <c r="G76" s="1"/>
      <c r="H76" s="1"/>
      <c r="I76" s="1"/>
      <c r="J76" s="1"/>
      <c r="K76" s="1"/>
    </row>
    <row r="77" spans="1:11" ht="15.75" customHeight="1">
      <c r="A77" s="1"/>
      <c r="B77" s="1"/>
      <c r="C77" s="1"/>
      <c r="D77" s="1"/>
      <c r="E77" s="1"/>
      <c r="F77" s="1"/>
      <c r="G77" s="1"/>
      <c r="H77" s="1"/>
      <c r="I77" s="1"/>
      <c r="J77" s="1"/>
      <c r="K77" s="1"/>
    </row>
    <row r="78" spans="1:11" ht="15.75" customHeight="1">
      <c r="A78" s="1"/>
      <c r="B78" s="1"/>
      <c r="C78" s="1"/>
      <c r="D78" s="1"/>
      <c r="E78" s="1"/>
      <c r="F78" s="1"/>
      <c r="G78" s="1"/>
      <c r="H78" s="1"/>
      <c r="I78" s="1"/>
      <c r="J78" s="1"/>
      <c r="K78" s="1"/>
    </row>
    <row r="79" spans="1:11" ht="15.75" customHeight="1">
      <c r="A79" s="1"/>
      <c r="B79" s="1"/>
      <c r="C79" s="1"/>
      <c r="D79" s="1"/>
      <c r="E79" s="1"/>
      <c r="F79" s="1"/>
      <c r="G79" s="1"/>
      <c r="H79" s="1"/>
      <c r="I79" s="1"/>
      <c r="J79" s="1"/>
      <c r="K79" s="1"/>
    </row>
    <row r="80" spans="1:11" ht="15.75" customHeight="1">
      <c r="A80" s="1"/>
      <c r="B80" s="1"/>
      <c r="C80" s="1"/>
      <c r="D80" s="1"/>
      <c r="E80" s="1"/>
      <c r="F80" s="1"/>
      <c r="G80" s="1"/>
      <c r="H80" s="1"/>
      <c r="I80" s="1"/>
      <c r="J80" s="1"/>
      <c r="K80" s="1"/>
    </row>
    <row r="81" spans="1:11" ht="15.75" customHeight="1">
      <c r="A81" s="1"/>
      <c r="B81" s="1"/>
      <c r="C81" s="1"/>
      <c r="D81" s="1"/>
      <c r="E81" s="1"/>
      <c r="F81" s="1"/>
      <c r="G81" s="1"/>
      <c r="H81" s="1"/>
      <c r="I81" s="1"/>
      <c r="J81" s="1"/>
      <c r="K81" s="1"/>
    </row>
    <row r="82" spans="1:11" ht="15.75" customHeight="1">
      <c r="A82" s="1"/>
      <c r="B82" s="1"/>
      <c r="C82" s="1"/>
      <c r="D82" s="1"/>
      <c r="E82" s="1"/>
      <c r="F82" s="1"/>
      <c r="G82" s="1"/>
      <c r="H82" s="1"/>
      <c r="I82" s="1"/>
      <c r="J82" s="1"/>
      <c r="K82" s="1"/>
    </row>
    <row r="83" spans="1:11" ht="15.75" customHeight="1">
      <c r="A83" s="1"/>
      <c r="B83" s="1"/>
      <c r="C83" s="1"/>
      <c r="D83" s="1"/>
      <c r="E83" s="1"/>
      <c r="F83" s="1"/>
      <c r="G83" s="1"/>
      <c r="H83" s="1"/>
      <c r="I83" s="1"/>
      <c r="J83" s="1"/>
      <c r="K83" s="1"/>
    </row>
    <row r="84" spans="1:11" ht="15.75" customHeight="1">
      <c r="A84" s="1"/>
      <c r="B84" s="1"/>
      <c r="C84" s="1"/>
      <c r="D84" s="1"/>
      <c r="E84" s="1"/>
      <c r="F84" s="1"/>
      <c r="G84" s="1"/>
      <c r="H84" s="1"/>
      <c r="I84" s="1"/>
      <c r="J84" s="1"/>
      <c r="K84" s="1"/>
    </row>
    <row r="85" spans="1:11" ht="15.75" customHeight="1">
      <c r="A85" s="1"/>
      <c r="B85" s="1"/>
      <c r="C85" s="1"/>
      <c r="D85" s="1"/>
      <c r="E85" s="1"/>
      <c r="F85" s="1"/>
      <c r="G85" s="1"/>
      <c r="H85" s="1"/>
      <c r="I85" s="1"/>
      <c r="J85" s="1"/>
      <c r="K85" s="1"/>
    </row>
    <row r="86" spans="1:11" ht="15.75" customHeight="1">
      <c r="A86" s="1"/>
      <c r="B86" s="1"/>
      <c r="C86" s="1"/>
      <c r="D86" s="1"/>
      <c r="E86" s="1"/>
      <c r="F86" s="1"/>
      <c r="G86" s="1"/>
      <c r="H86" s="1"/>
      <c r="I86" s="1"/>
      <c r="J86" s="1"/>
      <c r="K86" s="1"/>
    </row>
    <row r="87" spans="1:11" ht="15.75" customHeight="1">
      <c r="A87" s="1"/>
      <c r="B87" s="1"/>
      <c r="C87" s="1"/>
      <c r="D87" s="1"/>
      <c r="E87" s="1"/>
      <c r="F87" s="1"/>
      <c r="G87" s="1"/>
      <c r="H87" s="1"/>
      <c r="I87" s="1"/>
      <c r="J87" s="1"/>
      <c r="K87" s="1"/>
    </row>
    <row r="88" spans="1:11" ht="15.75" customHeight="1">
      <c r="A88" s="1"/>
      <c r="B88" s="1"/>
      <c r="C88" s="1"/>
      <c r="D88" s="1"/>
      <c r="E88" s="1"/>
      <c r="F88" s="1"/>
      <c r="G88" s="1"/>
      <c r="H88" s="1"/>
      <c r="I88" s="1"/>
      <c r="J88" s="1"/>
      <c r="K88" s="1"/>
    </row>
    <row r="89" spans="1:11" ht="15.75" customHeight="1">
      <c r="A89" s="1"/>
      <c r="B89" s="1"/>
      <c r="C89" s="1"/>
      <c r="D89" s="1"/>
      <c r="E89" s="1"/>
      <c r="F89" s="1"/>
      <c r="G89" s="1"/>
      <c r="H89" s="1"/>
      <c r="I89" s="1"/>
      <c r="J89" s="1"/>
      <c r="K89" s="1"/>
    </row>
    <row r="90" spans="1:11" ht="15.75" customHeight="1">
      <c r="A90" s="1"/>
      <c r="B90" s="1"/>
      <c r="C90" s="1"/>
      <c r="D90" s="1"/>
      <c r="E90" s="1"/>
      <c r="F90" s="1"/>
      <c r="G90" s="1"/>
      <c r="H90" s="1"/>
      <c r="I90" s="1"/>
      <c r="J90" s="1"/>
      <c r="K90" s="1"/>
    </row>
    <row r="91" spans="1:11" ht="15.75" customHeight="1">
      <c r="A91" s="1"/>
      <c r="B91" s="1"/>
      <c r="C91" s="1"/>
      <c r="D91" s="1"/>
      <c r="E91" s="1"/>
      <c r="F91" s="1"/>
      <c r="G91" s="1"/>
      <c r="H91" s="1"/>
      <c r="I91" s="1"/>
      <c r="J91" s="1"/>
      <c r="K91" s="1"/>
    </row>
    <row r="92" spans="1:11" ht="15.75" customHeight="1">
      <c r="A92" s="1"/>
      <c r="B92" s="1"/>
      <c r="C92" s="1"/>
      <c r="D92" s="1"/>
      <c r="E92" s="1"/>
      <c r="F92" s="1"/>
      <c r="G92" s="1"/>
      <c r="H92" s="1"/>
      <c r="I92" s="1"/>
      <c r="J92" s="1"/>
      <c r="K92" s="1"/>
    </row>
    <row r="93" spans="1:11" ht="15.75" customHeight="1">
      <c r="A93" s="1"/>
      <c r="B93" s="1"/>
      <c r="C93" s="1"/>
      <c r="D93" s="1"/>
      <c r="E93" s="1"/>
      <c r="F93" s="1"/>
      <c r="G93" s="1"/>
      <c r="H93" s="1"/>
      <c r="I93" s="1"/>
      <c r="J93" s="1"/>
      <c r="K93" s="1"/>
    </row>
    <row r="94" spans="1:11" ht="15.75" customHeight="1">
      <c r="A94" s="1"/>
      <c r="B94" s="1"/>
      <c r="C94" s="1"/>
      <c r="D94" s="1"/>
      <c r="E94" s="1"/>
      <c r="F94" s="1"/>
      <c r="G94" s="1"/>
      <c r="H94" s="1"/>
      <c r="I94" s="1"/>
      <c r="J94" s="1"/>
      <c r="K94" s="1"/>
    </row>
    <row r="95" spans="1:11" ht="15.75" customHeight="1">
      <c r="A95" s="1"/>
      <c r="B95" s="1"/>
      <c r="C95" s="1"/>
      <c r="D95" s="1"/>
      <c r="E95" s="1"/>
      <c r="F95" s="1"/>
      <c r="G95" s="1"/>
      <c r="H95" s="1"/>
      <c r="I95" s="1"/>
      <c r="J95" s="1"/>
      <c r="K95" s="1"/>
    </row>
    <row r="96" spans="1:11" ht="15.75" customHeight="1">
      <c r="A96" s="1"/>
      <c r="B96" s="1"/>
      <c r="C96" s="1"/>
      <c r="D96" s="1"/>
      <c r="E96" s="1"/>
      <c r="F96" s="1"/>
      <c r="G96" s="1"/>
      <c r="H96" s="1"/>
      <c r="I96" s="1"/>
      <c r="J96" s="1"/>
      <c r="K96" s="1"/>
    </row>
    <row r="97" spans="1:11" ht="15.75" customHeight="1">
      <c r="A97" s="1"/>
      <c r="B97" s="1"/>
      <c r="C97" s="1"/>
      <c r="D97" s="1"/>
      <c r="E97" s="1"/>
      <c r="F97" s="1"/>
      <c r="G97" s="1"/>
      <c r="H97" s="1"/>
      <c r="I97" s="1"/>
      <c r="J97" s="1"/>
      <c r="K97" s="1"/>
    </row>
    <row r="98" spans="1:11" ht="15.75" customHeight="1">
      <c r="A98" s="1"/>
      <c r="B98" s="1"/>
      <c r="C98" s="1"/>
      <c r="D98" s="1"/>
      <c r="E98" s="1"/>
      <c r="F98" s="1"/>
      <c r="G98" s="1"/>
      <c r="H98" s="1"/>
      <c r="I98" s="1"/>
      <c r="J98" s="1"/>
      <c r="K98" s="1"/>
    </row>
    <row r="99" spans="1:11" ht="15.75" customHeight="1">
      <c r="A99" s="1"/>
      <c r="B99" s="1"/>
      <c r="C99" s="1"/>
      <c r="D99" s="1"/>
      <c r="E99" s="1"/>
      <c r="F99" s="1"/>
      <c r="G99" s="1"/>
      <c r="H99" s="1"/>
      <c r="I99" s="1"/>
      <c r="J99" s="1"/>
      <c r="K99" s="1"/>
    </row>
    <row r="100" spans="1:11" ht="15.75" customHeight="1">
      <c r="A100" s="1"/>
      <c r="B100" s="1"/>
      <c r="C100" s="1"/>
      <c r="D100" s="1"/>
      <c r="E100" s="1"/>
      <c r="F100" s="1"/>
      <c r="G100" s="1"/>
      <c r="H100" s="1"/>
      <c r="I100" s="1"/>
      <c r="J100" s="1"/>
      <c r="K100" s="1"/>
    </row>
  </sheetData>
  <mergeCells count="15">
    <mergeCell ref="A37:E37"/>
    <mergeCell ref="A1:E1"/>
    <mergeCell ref="A2:E2"/>
    <mergeCell ref="A3:E3"/>
    <mergeCell ref="A4:E4"/>
    <mergeCell ref="C21:C26"/>
    <mergeCell ref="A9:E9"/>
    <mergeCell ref="A13:E13"/>
    <mergeCell ref="A14:E14"/>
    <mergeCell ref="A5:E5"/>
    <mergeCell ref="A6:E6"/>
    <mergeCell ref="A7:E7"/>
    <mergeCell ref="A8:E8"/>
    <mergeCell ref="B12:E12"/>
    <mergeCell ref="B11:E11"/>
  </mergeCells>
  <pageMargins left="0.7" right="0.7" top="0.75" bottom="0.75" header="0" footer="0"/>
  <pageSetup paperSize="9" scale="58" orientation="portrait" r:id="rId1"/>
</worksheet>
</file>

<file path=xl/worksheets/sheet10.xml><?xml version="1.0" encoding="utf-8"?>
<worksheet xmlns="http://schemas.openxmlformats.org/spreadsheetml/2006/main" xmlns:r="http://schemas.openxmlformats.org/officeDocument/2006/relationships">
  <dimension ref="B5:S184"/>
  <sheetViews>
    <sheetView view="pageBreakPreview" topLeftCell="A91" zoomScale="99" zoomScaleSheetLayoutView="99" workbookViewId="0">
      <selection activeCell="F91" sqref="F91"/>
    </sheetView>
  </sheetViews>
  <sheetFormatPr defaultColWidth="14.42578125" defaultRowHeight="15" customHeight="1"/>
  <cols>
    <col min="1" max="1" width="8.7109375" customWidth="1"/>
    <col min="2" max="2" width="32.7109375" customWidth="1"/>
    <col min="3" max="3" width="16.7109375" bestFit="1" customWidth="1"/>
    <col min="4" max="5" width="14.85546875" customWidth="1"/>
    <col min="6" max="6" width="16.5703125" customWidth="1"/>
    <col min="7" max="9" width="14.85546875" bestFit="1" customWidth="1"/>
    <col min="10" max="10" width="14.85546875" customWidth="1"/>
    <col min="11" max="11" width="14.42578125" customWidth="1"/>
    <col min="12" max="12" width="14.85546875" customWidth="1"/>
    <col min="13" max="18" width="11.85546875" customWidth="1"/>
    <col min="19" max="19" width="4.5703125" customWidth="1"/>
  </cols>
  <sheetData>
    <row r="5" spans="2:12" ht="18.75">
      <c r="B5" s="340" t="s">
        <v>424</v>
      </c>
      <c r="C5" s="324"/>
      <c r="D5" s="324"/>
      <c r="E5" s="324"/>
      <c r="F5" s="324"/>
      <c r="G5" s="324"/>
      <c r="H5" s="324"/>
      <c r="I5" s="324"/>
      <c r="J5" s="324"/>
    </row>
    <row r="6" spans="2:12" ht="16.5">
      <c r="B6" s="202"/>
      <c r="C6" s="202"/>
      <c r="D6" s="202"/>
      <c r="E6" s="202"/>
      <c r="F6" s="202"/>
      <c r="G6" s="202"/>
      <c r="H6" s="202"/>
      <c r="I6" s="202"/>
      <c r="J6" s="202"/>
    </row>
    <row r="7" spans="2:12" ht="15.75">
      <c r="B7" s="203" t="s">
        <v>425</v>
      </c>
      <c r="C7" s="204" t="s">
        <v>426</v>
      </c>
      <c r="D7" s="204" t="s">
        <v>145</v>
      </c>
      <c r="E7" s="204" t="s">
        <v>146</v>
      </c>
      <c r="F7" s="204" t="s">
        <v>147</v>
      </c>
      <c r="G7" s="204" t="s">
        <v>148</v>
      </c>
      <c r="H7" s="204" t="s">
        <v>149</v>
      </c>
      <c r="I7" s="204" t="s">
        <v>150</v>
      </c>
      <c r="J7" s="204" t="s">
        <v>151</v>
      </c>
      <c r="L7" s="205"/>
    </row>
    <row r="8" spans="2:12">
      <c r="B8" s="78"/>
      <c r="C8" s="78"/>
      <c r="D8" s="78"/>
      <c r="E8" s="78"/>
      <c r="F8" s="78"/>
      <c r="G8" s="78"/>
      <c r="H8" s="78"/>
      <c r="I8" s="78"/>
      <c r="J8" s="78"/>
    </row>
    <row r="9" spans="2:12">
      <c r="B9" s="78" t="s">
        <v>427</v>
      </c>
      <c r="C9" s="78"/>
      <c r="D9" s="206">
        <f>'6.Cons Profit &amp; Loss'!B51</f>
        <v>1813193.1276371779</v>
      </c>
      <c r="E9" s="206">
        <f>'6.Cons Profit &amp; Loss'!C51</f>
        <v>2924432.9042113838</v>
      </c>
      <c r="F9" s="206">
        <f>'6.Cons Profit &amp; Loss'!D51</f>
        <v>3980915.884746213</v>
      </c>
      <c r="G9" s="206">
        <f>'6.Cons Profit &amp; Loss'!E51</f>
        <v>4899420.0859196084</v>
      </c>
      <c r="H9" s="206">
        <f>'6.Cons Profit &amp; Loss'!F51</f>
        <v>5667117.5885252487</v>
      </c>
      <c r="I9" s="206">
        <f>'6.Cons Profit &amp; Loss'!G51</f>
        <v>6302543.8933873475</v>
      </c>
      <c r="J9" s="206">
        <f>'6.Cons Profit &amp; Loss'!H51</f>
        <v>6870152.7571061924</v>
      </c>
    </row>
    <row r="10" spans="2:12">
      <c r="B10" s="78"/>
      <c r="C10" s="78"/>
      <c r="D10" s="206"/>
      <c r="E10" s="206"/>
      <c r="F10" s="206"/>
      <c r="G10" s="206"/>
      <c r="H10" s="206"/>
      <c r="I10" s="206"/>
      <c r="J10" s="206"/>
    </row>
    <row r="11" spans="2:12">
      <c r="B11" s="81" t="s">
        <v>428</v>
      </c>
      <c r="C11" s="81"/>
      <c r="D11" s="206">
        <f>'6.Cons Profit &amp; Loss'!B42</f>
        <v>1050659.8939999999</v>
      </c>
      <c r="E11" s="206">
        <f>'6.Cons Profit &amp; Loss'!C42</f>
        <v>1050659.8939999999</v>
      </c>
      <c r="F11" s="206">
        <f>'6.Cons Profit &amp; Loss'!D42</f>
        <v>1050659.8939999999</v>
      </c>
      <c r="G11" s="206">
        <f>'6.Cons Profit &amp; Loss'!E42</f>
        <v>1050659.8939999999</v>
      </c>
      <c r="H11" s="206">
        <f>'6.Cons Profit &amp; Loss'!F42</f>
        <v>1050659.8939999999</v>
      </c>
      <c r="I11" s="206">
        <f>'6.Cons Profit &amp; Loss'!G42</f>
        <v>1050659.8939999999</v>
      </c>
      <c r="J11" s="206">
        <f>'6.Cons Profit &amp; Loss'!H42</f>
        <v>1050659.8939999999</v>
      </c>
    </row>
    <row r="12" spans="2:12">
      <c r="B12" s="78" t="s">
        <v>429</v>
      </c>
      <c r="C12" s="78"/>
      <c r="D12" s="206">
        <f>'6.Cons Profit &amp; Loss'!B43</f>
        <v>100000</v>
      </c>
      <c r="E12" s="206">
        <f>'6.Cons Profit &amp; Loss'!C43</f>
        <v>100000</v>
      </c>
      <c r="F12" s="206">
        <f>'6.Cons Profit &amp; Loss'!D43</f>
        <v>100000</v>
      </c>
      <c r="G12" s="206">
        <f>'6.Cons Profit &amp; Loss'!E43</f>
        <v>100000</v>
      </c>
      <c r="H12" s="206">
        <f>'6.Cons Profit &amp; Loss'!F43</f>
        <v>100000</v>
      </c>
      <c r="I12" s="206">
        <f>'6.Cons Profit &amp; Loss'!G43</f>
        <v>0</v>
      </c>
      <c r="J12" s="206">
        <f>'6.Cons Profit &amp; Loss'!H43</f>
        <v>0</v>
      </c>
    </row>
    <row r="13" spans="2:12">
      <c r="B13" s="78"/>
      <c r="C13" s="78"/>
      <c r="D13" s="78"/>
      <c r="E13" s="78"/>
      <c r="F13" s="78"/>
      <c r="G13" s="78"/>
      <c r="H13" s="78"/>
      <c r="I13" s="78"/>
      <c r="J13" s="78"/>
    </row>
    <row r="14" spans="2:12">
      <c r="B14" s="78" t="s">
        <v>430</v>
      </c>
      <c r="C14" s="78"/>
      <c r="D14" s="206">
        <f>SUM(D9:D12)</f>
        <v>2963853.021637178</v>
      </c>
      <c r="E14" s="206">
        <f>SUM(E9:E12)</f>
        <v>4075092.7982113836</v>
      </c>
      <c r="F14" s="206">
        <f t="shared" ref="F14:J14" si="0">SUM(F9:F12)</f>
        <v>5131575.7787462128</v>
      </c>
      <c r="G14" s="206">
        <f t="shared" si="0"/>
        <v>6050079.9799196087</v>
      </c>
      <c r="H14" s="206">
        <f t="shared" si="0"/>
        <v>6817777.4825252481</v>
      </c>
      <c r="I14" s="206">
        <f t="shared" si="0"/>
        <v>7353203.7873873468</v>
      </c>
      <c r="J14" s="206">
        <f t="shared" si="0"/>
        <v>7920812.6511061918</v>
      </c>
    </row>
    <row r="15" spans="2:12">
      <c r="B15" s="78" t="s">
        <v>431</v>
      </c>
      <c r="C15" s="207">
        <f>-'1.Project Cost and MOF'!D12</f>
        <v>-24364008.974719726</v>
      </c>
      <c r="D15" s="206">
        <f>D14</f>
        <v>2963853.021637178</v>
      </c>
      <c r="E15" s="206">
        <f t="shared" ref="E15:J15" si="1">E14</f>
        <v>4075092.7982113836</v>
      </c>
      <c r="F15" s="206">
        <f t="shared" si="1"/>
        <v>5131575.7787462128</v>
      </c>
      <c r="G15" s="206">
        <f t="shared" si="1"/>
        <v>6050079.9799196087</v>
      </c>
      <c r="H15" s="206">
        <f t="shared" si="1"/>
        <v>6817777.4825252481</v>
      </c>
      <c r="I15" s="206">
        <f t="shared" si="1"/>
        <v>7353203.7873873468</v>
      </c>
      <c r="J15" s="206">
        <f t="shared" si="1"/>
        <v>7920812.6511061918</v>
      </c>
    </row>
    <row r="16" spans="2:12">
      <c r="B16" s="78" t="s">
        <v>432</v>
      </c>
      <c r="C16" s="208">
        <f>IRR(C15:J15)</f>
        <v>0.12226283354715008</v>
      </c>
      <c r="D16" s="206"/>
      <c r="E16" s="206"/>
      <c r="F16" s="206"/>
      <c r="G16" s="206"/>
      <c r="H16" s="206"/>
      <c r="I16" s="206"/>
      <c r="J16" s="206"/>
    </row>
    <row r="17" spans="2:19">
      <c r="B17" s="78"/>
      <c r="C17" s="78"/>
      <c r="D17" s="78"/>
      <c r="E17" s="78"/>
      <c r="F17" s="78"/>
      <c r="G17" s="78"/>
      <c r="H17" s="78"/>
      <c r="I17" s="78"/>
      <c r="J17" s="78"/>
    </row>
    <row r="18" spans="2:19" ht="16.5">
      <c r="B18" s="209" t="s">
        <v>433</v>
      </c>
      <c r="C18" s="89"/>
      <c r="D18" s="210">
        <f>1/(1+$C$16)</f>
        <v>0.89105686306948939</v>
      </c>
      <c r="E18" s="211">
        <f t="shared" ref="E18:J18" si="2">D18/(1+$C$16)</f>
        <v>0.79398233322323875</v>
      </c>
      <c r="F18" s="211">
        <f t="shared" si="2"/>
        <v>0.7074834071744931</v>
      </c>
      <c r="G18" s="211">
        <f t="shared" si="2"/>
        <v>0.63040794547061807</v>
      </c>
      <c r="H18" s="211">
        <f t="shared" si="2"/>
        <v>0.56172932634513062</v>
      </c>
      <c r="I18" s="211">
        <f t="shared" si="2"/>
        <v>0.50053277142722952</v>
      </c>
      <c r="J18" s="211">
        <f t="shared" si="2"/>
        <v>0.44600316117142486</v>
      </c>
      <c r="L18" s="212"/>
      <c r="M18" s="212"/>
      <c r="N18" s="212"/>
      <c r="O18" s="212"/>
      <c r="P18" s="212"/>
      <c r="Q18" s="212"/>
      <c r="R18" s="212"/>
      <c r="S18" s="212"/>
    </row>
    <row r="19" spans="2:19">
      <c r="B19" s="78" t="s">
        <v>434</v>
      </c>
      <c r="C19" s="78"/>
      <c r="D19" s="206">
        <f t="shared" ref="D19:J19" si="3">D14*D18</f>
        <v>2640961.5760590513</v>
      </c>
      <c r="E19" s="206">
        <f t="shared" si="3"/>
        <v>3235551.6880250913</v>
      </c>
      <c r="F19" s="206">
        <f t="shared" si="3"/>
        <v>3630504.7161214733</v>
      </c>
      <c r="G19" s="206">
        <f t="shared" si="3"/>
        <v>3814018.4900740385</v>
      </c>
      <c r="H19" s="206">
        <f t="shared" si="3"/>
        <v>3829745.552429908</v>
      </c>
      <c r="I19" s="206">
        <f t="shared" si="3"/>
        <v>3680519.4705701894</v>
      </c>
      <c r="J19" s="206">
        <f t="shared" si="3"/>
        <v>3532707.481439976</v>
      </c>
      <c r="L19" s="213"/>
    </row>
    <row r="20" spans="2:19">
      <c r="B20" s="78" t="s">
        <v>435</v>
      </c>
      <c r="C20" s="78"/>
      <c r="D20" s="379">
        <f>SUM(D19:J19)</f>
        <v>24364008.974719726</v>
      </c>
      <c r="E20" s="328"/>
      <c r="F20" s="328"/>
      <c r="G20" s="328"/>
      <c r="H20" s="328"/>
      <c r="I20" s="328"/>
      <c r="J20" s="329"/>
      <c r="L20" s="213"/>
    </row>
    <row r="21" spans="2:19" ht="15.75" customHeight="1">
      <c r="B21" s="78"/>
      <c r="C21" s="78"/>
      <c r="D21" s="206"/>
      <c r="E21" s="206"/>
      <c r="F21" s="206"/>
      <c r="G21" s="206"/>
      <c r="H21" s="206"/>
      <c r="I21" s="206"/>
      <c r="J21" s="206"/>
    </row>
    <row r="22" spans="2:19" ht="15.75" customHeight="1">
      <c r="B22" s="73" t="s">
        <v>436</v>
      </c>
      <c r="C22" s="73"/>
      <c r="D22" s="380">
        <f>'1.Project Cost and MOF'!D12</f>
        <v>24364008.974719726</v>
      </c>
      <c r="E22" s="324"/>
      <c r="F22" s="324"/>
      <c r="G22" s="324"/>
      <c r="H22" s="324"/>
      <c r="I22" s="324"/>
      <c r="J22" s="324"/>
    </row>
    <row r="23" spans="2:19" ht="15.75" customHeight="1">
      <c r="F23" s="212">
        <f>D20-D22</f>
        <v>0</v>
      </c>
    </row>
    <row r="24" spans="2:19" ht="29.25" customHeight="1">
      <c r="B24" s="378" t="s">
        <v>437</v>
      </c>
      <c r="C24" s="324"/>
      <c r="D24" s="324"/>
      <c r="E24" s="324"/>
      <c r="F24" s="324"/>
      <c r="G24" s="324"/>
      <c r="H24" s="324"/>
      <c r="I24" s="324"/>
      <c r="J24" s="324"/>
    </row>
    <row r="25" spans="2:19" ht="15.75" customHeight="1">
      <c r="K25" s="212"/>
      <c r="L25" s="212"/>
      <c r="M25" s="212"/>
    </row>
    <row r="26" spans="2:19" ht="15.75" customHeight="1">
      <c r="B26" s="340" t="s">
        <v>438</v>
      </c>
      <c r="C26" s="324"/>
      <c r="D26" s="324"/>
      <c r="E26" s="324"/>
      <c r="F26" s="324"/>
      <c r="G26" s="324"/>
      <c r="H26" s="324"/>
      <c r="I26" s="324"/>
    </row>
    <row r="27" spans="2:19" ht="15.75" customHeight="1">
      <c r="K27" s="212"/>
    </row>
    <row r="28" spans="2:19" ht="15.75" customHeight="1">
      <c r="B28" s="214" t="s">
        <v>142</v>
      </c>
      <c r="C28" s="215" t="s">
        <v>145</v>
      </c>
      <c r="D28" s="215" t="s">
        <v>146</v>
      </c>
      <c r="E28" s="215" t="s">
        <v>147</v>
      </c>
      <c r="F28" s="215" t="s">
        <v>148</v>
      </c>
      <c r="G28" s="215" t="s">
        <v>149</v>
      </c>
      <c r="H28" s="215" t="s">
        <v>150</v>
      </c>
      <c r="I28" s="215" t="s">
        <v>151</v>
      </c>
    </row>
    <row r="29" spans="2:19" ht="15.75" customHeight="1">
      <c r="B29" s="78"/>
      <c r="C29" s="78"/>
      <c r="D29" s="78"/>
      <c r="E29" s="78"/>
      <c r="F29" s="78"/>
      <c r="G29" s="78"/>
      <c r="H29" s="78"/>
      <c r="I29" s="78"/>
    </row>
    <row r="30" spans="2:19" ht="15.75" customHeight="1">
      <c r="B30" s="78" t="s">
        <v>439</v>
      </c>
      <c r="C30" s="78"/>
      <c r="D30" s="78"/>
      <c r="E30" s="78"/>
      <c r="F30" s="78"/>
      <c r="G30" s="78"/>
      <c r="H30" s="78"/>
      <c r="I30" s="78"/>
    </row>
    <row r="31" spans="2:19" ht="15.75" customHeight="1">
      <c r="B31" s="78"/>
      <c r="C31" s="80"/>
      <c r="D31" s="80"/>
      <c r="E31" s="80"/>
      <c r="F31" s="80"/>
      <c r="G31" s="80"/>
      <c r="H31" s="80"/>
      <c r="I31" s="80"/>
    </row>
    <row r="32" spans="2:19" ht="15.75" customHeight="1">
      <c r="B32" s="216" t="str">
        <f>'6.Cons Profit &amp; Loss'!A8</f>
        <v>Faclitiy 1 - Cleaning &amp; Grading</v>
      </c>
      <c r="C32" s="80">
        <f>'6.Cons Profit &amp; Loss'!B8</f>
        <v>1799326.6593749998</v>
      </c>
      <c r="D32" s="80">
        <f>'6.Cons Profit &amp; Loss'!C8</f>
        <v>2125708.2808593754</v>
      </c>
      <c r="E32" s="80">
        <f>'6.Cons Profit &amp; Loss'!D8</f>
        <v>2380793.2745625</v>
      </c>
      <c r="F32" s="80">
        <f>'6.Cons Profit &amp; Loss'!E8</f>
        <v>2656072.496933789</v>
      </c>
      <c r="G32" s="80">
        <f>'6.Cons Profit &amp; Loss'!F8</f>
        <v>2952927.6583558014</v>
      </c>
      <c r="H32" s="80">
        <f>'6.Cons Profit &amp; Loss'!G8</f>
        <v>3272828.1546776793</v>
      </c>
      <c r="I32" s="80">
        <f>'6.Cons Profit &amp; Loss'!H8</f>
        <v>3617336.3814858566</v>
      </c>
    </row>
    <row r="33" spans="2:9" ht="15.75" customHeight="1">
      <c r="B33" s="216" t="str">
        <f>'6.Cons Profit &amp; Loss'!A9</f>
        <v>Faclitiy 2 - Processing Unit Paddy &amp; Rice</v>
      </c>
      <c r="C33" s="80">
        <f>'6.Cons Profit &amp; Loss'!B9</f>
        <v>91683650.165624991</v>
      </c>
      <c r="D33" s="80">
        <f>'6.Cons Profit &amp; Loss'!C9</f>
        <v>101195234.54578127</v>
      </c>
      <c r="E33" s="80">
        <f>'6.Cons Profit &amp; Loss'!D9</f>
        <v>107177602.72619531</v>
      </c>
      <c r="F33" s="80">
        <f>'6.Cons Profit &amp; Loss'!E9</f>
        <v>113505219.63828634</v>
      </c>
      <c r="G33" s="80">
        <f>'6.Cons Profit &amp; Loss'!F9</f>
        <v>120197654.23477097</v>
      </c>
      <c r="H33" s="80">
        <f>'6.Cons Profit &amp; Loss'!G9</f>
        <v>127275569.24180833</v>
      </c>
      <c r="I33" s="80">
        <f>'6.Cons Profit &amp; Loss'!H9</f>
        <v>134760781.61396253</v>
      </c>
    </row>
    <row r="34" spans="2:9" ht="15.75" customHeight="1">
      <c r="B34" s="216" t="str">
        <f>'6.Cons Profit &amp; Loss'!A10</f>
        <v>Faclitiy 3 - Warehouse</v>
      </c>
      <c r="C34" s="80">
        <f>'6.Cons Profit &amp; Loss'!B10</f>
        <v>4800000</v>
      </c>
      <c r="D34" s="80">
        <f>'6.Cons Profit &amp; Loss'!C10</f>
        <v>5151000.0000000009</v>
      </c>
      <c r="E34" s="80">
        <f>'6.Cons Profit &amp; Loss'!D10</f>
        <v>5508000.0000000009</v>
      </c>
      <c r="F34" s="80">
        <f>'6.Cons Profit &amp; Loss'!E10</f>
        <v>5871000.0000000019</v>
      </c>
      <c r="G34" s="80">
        <f>'6.Cons Profit &amp; Loss'!F10</f>
        <v>6240000.0000000019</v>
      </c>
      <c r="H34" s="80">
        <f>'6.Cons Profit &amp; Loss'!G10</f>
        <v>6300000.0000000019</v>
      </c>
      <c r="I34" s="80">
        <f>'6.Cons Profit &amp; Loss'!H10</f>
        <v>6360000.0000000019</v>
      </c>
    </row>
    <row r="35" spans="2:9" ht="15.75" customHeight="1">
      <c r="B35" s="216" t="str">
        <f>'6.Cons Profit &amp; Loss'!A11</f>
        <v xml:space="preserve">Faclitiy 4 - Custom Hiring </v>
      </c>
      <c r="C35" s="80">
        <f>'6.Cons Profit &amp; Loss'!B11</f>
        <v>2110500</v>
      </c>
      <c r="D35" s="80">
        <f>'6.Cons Profit &amp; Loss'!C11</f>
        <v>2152710</v>
      </c>
      <c r="E35" s="80">
        <f>'6.Cons Profit &amp; Loss'!D11</f>
        <v>2173815</v>
      </c>
      <c r="F35" s="80">
        <f>'6.Cons Profit &amp; Loss'!E11</f>
        <v>2325982.0500000003</v>
      </c>
      <c r="G35" s="80">
        <f>'6.Cons Profit &amp; Loss'!F11</f>
        <v>2512060.6140000001</v>
      </c>
      <c r="H35" s="80">
        <f>'6.Cons Profit &amp; Loss'!G11</f>
        <v>2738146.0692600003</v>
      </c>
      <c r="I35" s="80">
        <f>'6.Cons Profit &amp; Loss'!H11</f>
        <v>3066723.5975711998</v>
      </c>
    </row>
    <row r="36" spans="2:9" ht="15.75" customHeight="1">
      <c r="B36" s="216" t="str">
        <f>'6.Cons Profit &amp; Loss'!A12</f>
        <v>Faclitiy 5 - Agri Input Centre</v>
      </c>
      <c r="C36" s="80">
        <f>'6.Cons Profit &amp; Loss'!B12</f>
        <v>0</v>
      </c>
      <c r="D36" s="80">
        <f>'6.Cons Profit &amp; Loss'!C12</f>
        <v>0</v>
      </c>
      <c r="E36" s="80">
        <f>'6.Cons Profit &amp; Loss'!D12</f>
        <v>0</v>
      </c>
      <c r="F36" s="80">
        <f>'6.Cons Profit &amp; Loss'!E12</f>
        <v>0</v>
      </c>
      <c r="G36" s="80">
        <f>'6.Cons Profit &amp; Loss'!F12</f>
        <v>0</v>
      </c>
      <c r="H36" s="80">
        <f>'6.Cons Profit &amp; Loss'!G12</f>
        <v>0</v>
      </c>
      <c r="I36" s="80">
        <f>'6.Cons Profit &amp; Loss'!H12</f>
        <v>0</v>
      </c>
    </row>
    <row r="37" spans="2:9" ht="15.75" customHeight="1">
      <c r="B37" s="216" t="str">
        <f>'6.Cons Profit &amp; Loss'!A13</f>
        <v>Facility 6 - Processing Unit - Horti Commodity</v>
      </c>
      <c r="C37" s="80">
        <f>'6.Cons Profit &amp; Loss'!B13</f>
        <v>0</v>
      </c>
      <c r="D37" s="80">
        <f>'6.Cons Profit &amp; Loss'!C13</f>
        <v>0</v>
      </c>
      <c r="E37" s="80">
        <f>'6.Cons Profit &amp; Loss'!D13</f>
        <v>0</v>
      </c>
      <c r="F37" s="80">
        <f>'6.Cons Profit &amp; Loss'!E13</f>
        <v>0</v>
      </c>
      <c r="G37" s="80">
        <f>'6.Cons Profit &amp; Loss'!F13</f>
        <v>0</v>
      </c>
      <c r="H37" s="80">
        <f>'6.Cons Profit &amp; Loss'!G13</f>
        <v>0</v>
      </c>
      <c r="I37" s="80">
        <f>'6.Cons Profit &amp; Loss'!H13</f>
        <v>0</v>
      </c>
    </row>
    <row r="38" spans="2:9" ht="15.75" customHeight="1">
      <c r="B38" s="216"/>
      <c r="C38" s="216"/>
      <c r="D38" s="216"/>
      <c r="E38" s="216"/>
      <c r="F38" s="216"/>
      <c r="G38" s="216"/>
      <c r="H38" s="216"/>
      <c r="I38" s="216"/>
    </row>
    <row r="39" spans="2:9" ht="15.75" customHeight="1">
      <c r="B39" s="78" t="s">
        <v>440</v>
      </c>
      <c r="C39" s="80">
        <f>SUM(C32:C38)</f>
        <v>100393476.82499999</v>
      </c>
      <c r="D39" s="80">
        <f t="shared" ref="D39:I39" si="4">SUM(D32:D38)</f>
        <v>110624652.82664065</v>
      </c>
      <c r="E39" s="80">
        <f t="shared" si="4"/>
        <v>117240211.0007578</v>
      </c>
      <c r="F39" s="80">
        <f t="shared" si="4"/>
        <v>124358274.18522012</v>
      </c>
      <c r="G39" s="80">
        <f t="shared" si="4"/>
        <v>131902642.50712678</v>
      </c>
      <c r="H39" s="80">
        <f t="shared" si="4"/>
        <v>139586543.46574602</v>
      </c>
      <c r="I39" s="80">
        <f t="shared" si="4"/>
        <v>147804841.59301957</v>
      </c>
    </row>
    <row r="40" spans="2:9" ht="15.75" customHeight="1">
      <c r="B40" s="78"/>
      <c r="C40" s="80"/>
      <c r="D40" s="80"/>
      <c r="E40" s="80"/>
      <c r="F40" s="80"/>
      <c r="G40" s="80"/>
      <c r="H40" s="80"/>
      <c r="I40" s="80"/>
    </row>
    <row r="41" spans="2:9" ht="15.75" customHeight="1">
      <c r="B41" s="78" t="s">
        <v>441</v>
      </c>
      <c r="C41" s="80">
        <f>'6.Cons Profit &amp; Loss'!B25</f>
        <v>92475073.666500002</v>
      </c>
      <c r="D41" s="80">
        <f>'6.Cons Profit &amp; Loss'!C25</f>
        <v>100817960.98518752</v>
      </c>
      <c r="E41" s="80">
        <f>'6.Cons Profit &amp; Loss'!D25</f>
        <v>106058447.536365</v>
      </c>
      <c r="F41" s="80">
        <f>'6.Cons Profit &amp; Loss'!E25</f>
        <v>111744661.86112231</v>
      </c>
      <c r="G41" s="80">
        <f>'6.Cons Profit &amp; Loss'!F25</f>
        <v>117752801.12001438</v>
      </c>
      <c r="H41" s="80">
        <f>'6.Cons Profit &amp; Loss'!G25</f>
        <v>124103168.62458789</v>
      </c>
      <c r="I41" s="80">
        <f>'6.Cons Profit &amp; Loss'!H25</f>
        <v>130859340.88344611</v>
      </c>
    </row>
    <row r="42" spans="2:9" ht="15.75" customHeight="1">
      <c r="B42" s="78"/>
      <c r="C42" s="80"/>
      <c r="D42" s="80"/>
      <c r="E42" s="80"/>
      <c r="F42" s="80"/>
      <c r="G42" s="80"/>
      <c r="H42" s="80"/>
      <c r="I42" s="80"/>
    </row>
    <row r="43" spans="2:9" ht="15.75" customHeight="1">
      <c r="B43" s="81" t="s">
        <v>442</v>
      </c>
      <c r="C43" s="82">
        <f>C39-C41</f>
        <v>7918403.1584999859</v>
      </c>
      <c r="D43" s="82">
        <f t="shared" ref="D43:I43" si="5">D39-D41</f>
        <v>9806691.841453135</v>
      </c>
      <c r="E43" s="82">
        <f t="shared" si="5"/>
        <v>11181763.464392796</v>
      </c>
      <c r="F43" s="82">
        <f t="shared" si="5"/>
        <v>12613612.324097812</v>
      </c>
      <c r="G43" s="82">
        <f t="shared" si="5"/>
        <v>14149841.387112394</v>
      </c>
      <c r="H43" s="82">
        <f t="shared" si="5"/>
        <v>15483374.841158122</v>
      </c>
      <c r="I43" s="82">
        <f t="shared" si="5"/>
        <v>16945500.709573463</v>
      </c>
    </row>
    <row r="44" spans="2:9" ht="15.75" customHeight="1">
      <c r="B44" s="78"/>
      <c r="C44" s="80"/>
      <c r="D44" s="80"/>
      <c r="E44" s="80"/>
      <c r="F44" s="80"/>
      <c r="G44" s="80"/>
      <c r="H44" s="80"/>
      <c r="I44" s="80"/>
    </row>
    <row r="45" spans="2:9" ht="15.75" customHeight="1">
      <c r="B45" s="81" t="s">
        <v>443</v>
      </c>
      <c r="C45" s="82">
        <f>'6.Cons Profit &amp; Loss'!B36+'6.Cons Profit &amp; Loss'!B42+'6.Cons Profit &amp; Loss'!B43</f>
        <v>4089659.8939999999</v>
      </c>
      <c r="D45" s="82">
        <f>'6.Cons Profit &amp; Loss'!C36+'6.Cons Profit &amp; Loss'!C42+'6.Cons Profit &amp; Loss'!C43</f>
        <v>4230849.8939999994</v>
      </c>
      <c r="E45" s="82">
        <f>'6.Cons Profit &amp; Loss'!D36+'6.Cons Profit &amp; Loss'!D42+'6.Cons Profit &amp; Loss'!D43</f>
        <v>4406646.1439999994</v>
      </c>
      <c r="F45" s="82">
        <f>'6.Cons Profit &amp; Loss'!E36+'6.Cons Profit &amp; Loss'!E42+'6.Cons Profit &amp; Loss'!E43</f>
        <v>4660799.1689999998</v>
      </c>
      <c r="G45" s="82">
        <f>'6.Cons Profit &amp; Loss'!F36+'6.Cons Profit &amp; Loss'!F42+'6.Cons Profit &amp; Loss'!F43</f>
        <v>4981420.950375</v>
      </c>
      <c r="H45" s="82">
        <f>'6.Cons Profit &amp; Loss'!G36+'6.Cons Profit &amp; Loss'!G42+'6.Cons Profit &amp; Loss'!G43</f>
        <v>5286505.4045112506</v>
      </c>
      <c r="I45" s="82">
        <f>'6.Cons Profit &amp; Loss'!H36+'6.Cons Profit &amp; Loss'!H42+'6.Cons Profit &amp; Loss'!H43</f>
        <v>5814784.6592843197</v>
      </c>
    </row>
    <row r="46" spans="2:9" ht="15.75" customHeight="1">
      <c r="B46" s="78"/>
      <c r="C46" s="78"/>
      <c r="D46" s="78"/>
      <c r="E46" s="78"/>
      <c r="F46" s="78"/>
      <c r="G46" s="78"/>
      <c r="H46" s="78"/>
      <c r="I46" s="78"/>
    </row>
    <row r="47" spans="2:9" ht="15.75" customHeight="1">
      <c r="B47" s="78" t="s">
        <v>444</v>
      </c>
      <c r="C47" s="132">
        <f>C45/C43</f>
        <v>0.51647533121750266</v>
      </c>
      <c r="D47" s="132">
        <f t="shared" ref="D47:H47" si="6">D45/D43</f>
        <v>0.43142478242419013</v>
      </c>
      <c r="E47" s="132">
        <f>E45/E43</f>
        <v>0.39409223402306104</v>
      </c>
      <c r="F47" s="132">
        <f t="shared" si="6"/>
        <v>0.36950550320115083</v>
      </c>
      <c r="G47" s="132">
        <f t="shared" si="6"/>
        <v>0.35204782966062459</v>
      </c>
      <c r="H47" s="132">
        <f t="shared" si="6"/>
        <v>0.34143108067490485</v>
      </c>
      <c r="I47" s="132">
        <f t="shared" ref="I47" si="7">I45/I43</f>
        <v>0.34314622854426613</v>
      </c>
    </row>
    <row r="48" spans="2:9" ht="15.75" customHeight="1">
      <c r="B48" s="73"/>
      <c r="C48" s="73"/>
      <c r="D48" s="73"/>
      <c r="E48" s="73"/>
      <c r="F48" s="73"/>
      <c r="G48" s="73"/>
      <c r="H48" s="73"/>
      <c r="I48" s="73"/>
    </row>
    <row r="49" spans="2:10" ht="15.75" customHeight="1">
      <c r="B49" s="97" t="s">
        <v>445</v>
      </c>
      <c r="C49" s="217">
        <f>AVERAGE(C47:I47)</f>
        <v>0.39258899853509999</v>
      </c>
      <c r="D49" s="73"/>
      <c r="E49" s="73"/>
      <c r="F49" s="73"/>
      <c r="G49" s="73"/>
      <c r="H49" s="73"/>
      <c r="I49" s="73"/>
    </row>
    <row r="50" spans="2:10" ht="15.75" customHeight="1"/>
    <row r="51" spans="2:10" ht="41.25" customHeight="1">
      <c r="B51" s="377" t="s">
        <v>446</v>
      </c>
      <c r="C51" s="324"/>
      <c r="D51" s="324"/>
      <c r="E51" s="324"/>
      <c r="F51" s="324"/>
      <c r="G51" s="324"/>
      <c r="H51" s="324"/>
      <c r="I51" s="324"/>
      <c r="J51" s="324"/>
    </row>
    <row r="52" spans="2:10" ht="15.75" customHeight="1"/>
    <row r="53" spans="2:10" ht="15.75" customHeight="1"/>
    <row r="54" spans="2:10" ht="15.75" customHeight="1">
      <c r="B54" s="340" t="s">
        <v>447</v>
      </c>
      <c r="C54" s="324"/>
      <c r="D54" s="324"/>
      <c r="E54" s="324"/>
      <c r="F54" s="324"/>
      <c r="G54" s="324"/>
      <c r="H54" s="324"/>
      <c r="I54" s="324"/>
    </row>
    <row r="55" spans="2:10" ht="15.75" customHeight="1"/>
    <row r="56" spans="2:10" ht="15.75" customHeight="1">
      <c r="B56" s="129" t="s">
        <v>425</v>
      </c>
      <c r="C56" s="130" t="s">
        <v>145</v>
      </c>
      <c r="D56" s="130" t="s">
        <v>146</v>
      </c>
      <c r="E56" s="130" t="s">
        <v>147</v>
      </c>
      <c r="F56" s="130" t="s">
        <v>148</v>
      </c>
      <c r="G56" s="130" t="s">
        <v>149</v>
      </c>
      <c r="H56" s="130" t="s">
        <v>150</v>
      </c>
      <c r="I56" s="130" t="s">
        <v>151</v>
      </c>
    </row>
    <row r="57" spans="2:10" ht="15.75" customHeight="1">
      <c r="B57" s="78"/>
      <c r="C57" s="78"/>
      <c r="D57" s="78"/>
      <c r="E57" s="78"/>
      <c r="F57" s="78"/>
      <c r="G57" s="78"/>
      <c r="H57" s="78"/>
      <c r="I57" s="78"/>
    </row>
    <row r="58" spans="2:10" ht="15.75" customHeight="1">
      <c r="B58" s="78" t="s">
        <v>448</v>
      </c>
      <c r="C58" s="218">
        <f>'6.Cons Profit &amp; Loss'!B51</f>
        <v>1813193.1276371779</v>
      </c>
      <c r="D58" s="218">
        <f>'6.Cons Profit &amp; Loss'!C51</f>
        <v>2924432.9042113838</v>
      </c>
      <c r="E58" s="218">
        <f>'6.Cons Profit &amp; Loss'!D51</f>
        <v>3980915.884746213</v>
      </c>
      <c r="F58" s="218">
        <f>'6.Cons Profit &amp; Loss'!E51</f>
        <v>4899420.0859196084</v>
      </c>
      <c r="G58" s="218">
        <f>'6.Cons Profit &amp; Loss'!F51</f>
        <v>5667117.5885252487</v>
      </c>
      <c r="H58" s="218">
        <f>'6.Cons Profit &amp; Loss'!G51</f>
        <v>6302543.8933873475</v>
      </c>
      <c r="I58" s="218">
        <f>'6.Cons Profit &amp; Loss'!H51</f>
        <v>6870152.7571061924</v>
      </c>
    </row>
    <row r="59" spans="2:10" ht="15.75" customHeight="1">
      <c r="B59" s="78"/>
      <c r="C59" s="218"/>
      <c r="D59" s="218"/>
      <c r="E59" s="218"/>
      <c r="F59" s="218"/>
      <c r="G59" s="218"/>
      <c r="H59" s="218"/>
      <c r="I59" s="218"/>
    </row>
    <row r="60" spans="2:10" ht="15.75" customHeight="1">
      <c r="B60" s="78" t="s">
        <v>449</v>
      </c>
      <c r="C60" s="218">
        <f>'6.Cons Profit &amp; Loss'!B42</f>
        <v>1050659.8939999999</v>
      </c>
      <c r="D60" s="218">
        <f>'6.Cons Profit &amp; Loss'!C42</f>
        <v>1050659.8939999999</v>
      </c>
      <c r="E60" s="218">
        <f>'6.Cons Profit &amp; Loss'!D42</f>
        <v>1050659.8939999999</v>
      </c>
      <c r="F60" s="218">
        <f>'6.Cons Profit &amp; Loss'!E42</f>
        <v>1050659.8939999999</v>
      </c>
      <c r="G60" s="218">
        <f>'6.Cons Profit &amp; Loss'!F42</f>
        <v>1050659.8939999999</v>
      </c>
      <c r="H60" s="218">
        <f>'6.Cons Profit &amp; Loss'!G42</f>
        <v>1050659.8939999999</v>
      </c>
      <c r="I60" s="218">
        <f>'6.Cons Profit &amp; Loss'!H42</f>
        <v>1050659.8939999999</v>
      </c>
    </row>
    <row r="61" spans="2:10" ht="15.75" customHeight="1">
      <c r="B61" s="196" t="s">
        <v>450</v>
      </c>
      <c r="C61" s="218">
        <f>'6.Cons Profit &amp; Loss'!B43</f>
        <v>100000</v>
      </c>
      <c r="D61" s="218">
        <f>'6.Cons Profit &amp; Loss'!C43</f>
        <v>100000</v>
      </c>
      <c r="E61" s="218">
        <f>'6.Cons Profit &amp; Loss'!D43</f>
        <v>100000</v>
      </c>
      <c r="F61" s="218">
        <f>'6.Cons Profit &amp; Loss'!E43</f>
        <v>100000</v>
      </c>
      <c r="G61" s="218">
        <f>'6.Cons Profit &amp; Loss'!F43</f>
        <v>100000</v>
      </c>
      <c r="H61" s="218">
        <f>'6.Cons Profit &amp; Loss'!G43</f>
        <v>0</v>
      </c>
      <c r="I61" s="218">
        <f>'6.Cons Profit &amp; Loss'!H43</f>
        <v>0</v>
      </c>
    </row>
    <row r="62" spans="2:10" ht="15.75" customHeight="1">
      <c r="B62" s="78"/>
      <c r="C62" s="218"/>
      <c r="D62" s="218"/>
      <c r="E62" s="218"/>
      <c r="F62" s="218"/>
      <c r="G62" s="218"/>
      <c r="H62" s="218"/>
      <c r="I62" s="218"/>
    </row>
    <row r="63" spans="2:10" ht="15.75" customHeight="1">
      <c r="B63" s="78" t="s">
        <v>430</v>
      </c>
      <c r="C63" s="218">
        <f t="shared" ref="C63:I63" si="8">SUM(C58:C61)</f>
        <v>2963853.021637178</v>
      </c>
      <c r="D63" s="218">
        <f t="shared" si="8"/>
        <v>4075092.7982113836</v>
      </c>
      <c r="E63" s="218">
        <f t="shared" si="8"/>
        <v>5131575.7787462128</v>
      </c>
      <c r="F63" s="218">
        <f t="shared" si="8"/>
        <v>6050079.9799196087</v>
      </c>
      <c r="G63" s="218">
        <f t="shared" si="8"/>
        <v>6817777.4825252481</v>
      </c>
      <c r="H63" s="218">
        <f t="shared" si="8"/>
        <v>7353203.7873873468</v>
      </c>
      <c r="I63" s="218">
        <f t="shared" si="8"/>
        <v>7920812.6511061918</v>
      </c>
    </row>
    <row r="64" spans="2:10" ht="15.75" customHeight="1">
      <c r="B64" s="78"/>
      <c r="C64" s="78"/>
      <c r="D64" s="78"/>
      <c r="E64" s="78"/>
      <c r="F64" s="78"/>
      <c r="G64" s="78"/>
      <c r="H64" s="78"/>
      <c r="I64" s="78"/>
    </row>
    <row r="65" spans="2:10" ht="15.75" customHeight="1">
      <c r="B65" s="219" t="s">
        <v>451</v>
      </c>
      <c r="C65" s="216">
        <f>1/1.1</f>
        <v>0.90909090909090906</v>
      </c>
      <c r="D65" s="216">
        <f t="shared" ref="D65:I65" si="9">C65/1.1</f>
        <v>0.82644628099173545</v>
      </c>
      <c r="E65" s="216">
        <f t="shared" si="9"/>
        <v>0.75131480090157765</v>
      </c>
      <c r="F65" s="216">
        <f t="shared" si="9"/>
        <v>0.68301345536507052</v>
      </c>
      <c r="G65" s="216">
        <f t="shared" si="9"/>
        <v>0.62092132305915493</v>
      </c>
      <c r="H65" s="216">
        <f t="shared" si="9"/>
        <v>0.56447393005377711</v>
      </c>
      <c r="I65" s="216">
        <f t="shared" si="9"/>
        <v>0.51315811823070645</v>
      </c>
    </row>
    <row r="66" spans="2:10" ht="15.75" customHeight="1">
      <c r="B66" s="78"/>
      <c r="C66" s="78"/>
      <c r="D66" s="78"/>
      <c r="E66" s="78"/>
      <c r="F66" s="78"/>
      <c r="G66" s="78"/>
      <c r="H66" s="78"/>
      <c r="I66" s="78"/>
    </row>
    <row r="67" spans="2:10" ht="15.75" customHeight="1">
      <c r="B67" s="219" t="s">
        <v>452</v>
      </c>
      <c r="C67" s="80">
        <f t="shared" ref="C67:I67" si="10">C63*C65</f>
        <v>2694411.8378519798</v>
      </c>
      <c r="D67" s="80">
        <f t="shared" si="10"/>
        <v>3367845.2877780027</v>
      </c>
      <c r="E67" s="80">
        <f t="shared" si="10"/>
        <v>3855428.834520069</v>
      </c>
      <c r="F67" s="80">
        <f t="shared" si="10"/>
        <v>4132286.0323199285</v>
      </c>
      <c r="G67" s="80">
        <f t="shared" si="10"/>
        <v>4233303.4147724919</v>
      </c>
      <c r="H67" s="80">
        <f t="shared" si="10"/>
        <v>4150691.8403528542</v>
      </c>
      <c r="I67" s="80">
        <f t="shared" si="10"/>
        <v>4064629.3148996267</v>
      </c>
    </row>
    <row r="68" spans="2:10" ht="15.75" customHeight="1">
      <c r="B68" s="73"/>
      <c r="C68" s="119"/>
      <c r="D68" s="119"/>
      <c r="E68" s="119"/>
      <c r="F68" s="119"/>
      <c r="G68" s="119"/>
      <c r="H68" s="119"/>
      <c r="I68" s="119"/>
    </row>
    <row r="69" spans="2:10" ht="15.75" customHeight="1">
      <c r="B69" s="220" t="s">
        <v>453</v>
      </c>
      <c r="C69" s="119">
        <f>SUM(C67:I67)</f>
        <v>26498596.562494956</v>
      </c>
      <c r="D69" s="119"/>
      <c r="E69" s="119"/>
      <c r="F69" s="119"/>
      <c r="G69" s="119"/>
      <c r="H69" s="119"/>
      <c r="I69" s="119"/>
    </row>
    <row r="70" spans="2:10" ht="15.75" customHeight="1">
      <c r="B70" s="73"/>
      <c r="C70" s="119"/>
      <c r="D70" s="119"/>
      <c r="E70" s="119"/>
      <c r="F70" s="119"/>
      <c r="G70" s="119"/>
      <c r="H70" s="119"/>
      <c r="I70" s="119"/>
    </row>
    <row r="71" spans="2:10" ht="15.75" customHeight="1">
      <c r="B71" s="220" t="s">
        <v>454</v>
      </c>
      <c r="C71" s="119">
        <f>'1.Project Cost and MOF'!D12</f>
        <v>24364008.974719726</v>
      </c>
      <c r="D71" s="119"/>
      <c r="E71" s="119"/>
      <c r="F71" s="119"/>
      <c r="G71" s="119"/>
      <c r="H71" s="119"/>
      <c r="I71" s="119"/>
    </row>
    <row r="72" spans="2:10" ht="15.75" customHeight="1">
      <c r="B72" s="73"/>
      <c r="C72" s="221"/>
      <c r="D72" s="73"/>
      <c r="E72" s="73"/>
      <c r="F72" s="73"/>
      <c r="G72" s="73"/>
      <c r="H72" s="73"/>
      <c r="I72" s="73"/>
    </row>
    <row r="73" spans="2:10" ht="15.75" customHeight="1">
      <c r="B73" s="220" t="s">
        <v>455</v>
      </c>
      <c r="C73" s="221">
        <f>C69-C71</f>
        <v>2134587.5877752304</v>
      </c>
      <c r="D73" s="73"/>
      <c r="E73" s="73"/>
      <c r="F73" s="73"/>
      <c r="G73" s="73"/>
      <c r="H73" s="73"/>
      <c r="I73" s="73"/>
    </row>
    <row r="74" spans="2:10" ht="15.75" customHeight="1"/>
    <row r="75" spans="2:10" ht="34.5" customHeight="1">
      <c r="B75" s="346" t="s">
        <v>456</v>
      </c>
      <c r="C75" s="324"/>
      <c r="D75" s="324"/>
      <c r="E75" s="324"/>
      <c r="F75" s="324"/>
      <c r="G75" s="324"/>
      <c r="H75" s="324"/>
      <c r="I75" s="324"/>
      <c r="J75" s="324"/>
    </row>
    <row r="76" spans="2:10" ht="15.75" customHeight="1">
      <c r="B76" s="340" t="s">
        <v>457</v>
      </c>
      <c r="C76" s="324"/>
      <c r="D76" s="324"/>
      <c r="E76" s="324"/>
      <c r="F76" s="324"/>
      <c r="G76" s="324"/>
      <c r="H76" s="324"/>
      <c r="I76" s="324"/>
    </row>
    <row r="77" spans="2:10" ht="15.75" customHeight="1">
      <c r="B77" s="73"/>
      <c r="C77" s="73"/>
      <c r="D77" s="73"/>
      <c r="E77" s="73"/>
      <c r="F77" s="73"/>
      <c r="G77" s="73"/>
      <c r="H77" s="73"/>
      <c r="I77" s="73"/>
    </row>
    <row r="78" spans="2:10" ht="15.75" customHeight="1">
      <c r="B78" s="222" t="s">
        <v>142</v>
      </c>
      <c r="C78" s="222" t="s">
        <v>145</v>
      </c>
      <c r="D78" s="222" t="s">
        <v>146</v>
      </c>
      <c r="E78" s="222" t="s">
        <v>147</v>
      </c>
      <c r="F78" s="222" t="s">
        <v>148</v>
      </c>
      <c r="G78" s="222" t="s">
        <v>149</v>
      </c>
      <c r="H78" s="222" t="s">
        <v>150</v>
      </c>
      <c r="I78" s="222" t="s">
        <v>151</v>
      </c>
    </row>
    <row r="79" spans="2:10" ht="15.75" customHeight="1">
      <c r="B79" s="223"/>
      <c r="C79" s="224"/>
      <c r="D79" s="224"/>
      <c r="E79" s="224"/>
      <c r="F79" s="224"/>
      <c r="G79" s="224"/>
      <c r="H79" s="224"/>
      <c r="I79" s="224"/>
    </row>
    <row r="80" spans="2:10" ht="15.75" customHeight="1">
      <c r="B80" s="81" t="s">
        <v>458</v>
      </c>
      <c r="C80" s="80">
        <f>'6.Cons Profit &amp; Loss'!B51</f>
        <v>1813193.1276371779</v>
      </c>
      <c r="D80" s="80">
        <f>'6.Cons Profit &amp; Loss'!C51</f>
        <v>2924432.9042113838</v>
      </c>
      <c r="E80" s="80">
        <f>'6.Cons Profit &amp; Loss'!D51</f>
        <v>3980915.884746213</v>
      </c>
      <c r="F80" s="80">
        <f>'6.Cons Profit &amp; Loss'!E51</f>
        <v>4899420.0859196084</v>
      </c>
      <c r="G80" s="80">
        <f>'6.Cons Profit &amp; Loss'!F51</f>
        <v>5667117.5885252487</v>
      </c>
      <c r="H80" s="80">
        <f>'6.Cons Profit &amp; Loss'!G51</f>
        <v>6302543.8933873475</v>
      </c>
      <c r="I80" s="80">
        <f>'6.Cons Profit &amp; Loss'!H51</f>
        <v>6870152.7571061924</v>
      </c>
    </row>
    <row r="81" spans="2:10" ht="15.75" customHeight="1">
      <c r="B81" s="78"/>
      <c r="C81" s="78"/>
      <c r="D81" s="78"/>
      <c r="E81" s="78"/>
      <c r="F81" s="78"/>
      <c r="G81" s="78"/>
      <c r="H81" s="78"/>
      <c r="I81" s="78"/>
    </row>
    <row r="82" spans="2:10" ht="15.75" customHeight="1">
      <c r="B82" s="81" t="s">
        <v>459</v>
      </c>
      <c r="C82" s="381">
        <f>AVERAGE(C80:I80)</f>
        <v>4636825.1773618823</v>
      </c>
      <c r="D82" s="328"/>
      <c r="E82" s="328"/>
      <c r="F82" s="328"/>
      <c r="G82" s="328"/>
      <c r="H82" s="328"/>
      <c r="I82" s="329"/>
    </row>
    <row r="83" spans="2:10" ht="15.75" customHeight="1">
      <c r="B83" s="81" t="s">
        <v>460</v>
      </c>
      <c r="C83" s="381">
        <f>'1.Project Cost and MOF'!D12</f>
        <v>24364008.974719726</v>
      </c>
      <c r="D83" s="328"/>
      <c r="E83" s="328"/>
      <c r="F83" s="328"/>
      <c r="G83" s="328"/>
      <c r="H83" s="328"/>
      <c r="I83" s="329"/>
    </row>
    <row r="84" spans="2:10" ht="15.75" customHeight="1">
      <c r="B84" s="78"/>
      <c r="C84" s="78"/>
      <c r="D84" s="78"/>
      <c r="E84" s="78"/>
      <c r="F84" s="78"/>
      <c r="G84" s="78"/>
      <c r="H84" s="78"/>
      <c r="I84" s="78"/>
    </row>
    <row r="85" spans="2:10" ht="15.75" customHeight="1">
      <c r="B85" s="225" t="s">
        <v>461</v>
      </c>
      <c r="C85" s="382">
        <f>C82/C83</f>
        <v>0.19031454068881218</v>
      </c>
      <c r="D85" s="328"/>
      <c r="E85" s="328"/>
      <c r="F85" s="328"/>
      <c r="G85" s="328"/>
      <c r="H85" s="328"/>
      <c r="I85" s="329"/>
    </row>
    <row r="86" spans="2:10" ht="15.75" customHeight="1"/>
    <row r="87" spans="2:10" ht="15.75" customHeight="1"/>
    <row r="88" spans="2:10" ht="15.75" customHeight="1">
      <c r="B88" s="376" t="s">
        <v>462</v>
      </c>
      <c r="C88" s="324"/>
      <c r="D88" s="324"/>
      <c r="E88" s="324"/>
      <c r="F88" s="324"/>
      <c r="G88" s="324"/>
      <c r="H88" s="324"/>
      <c r="I88" s="324"/>
    </row>
    <row r="89" spans="2:10" ht="15.75" customHeight="1"/>
    <row r="90" spans="2:10" ht="15.75" customHeight="1">
      <c r="B90" s="340" t="s">
        <v>463</v>
      </c>
      <c r="C90" s="324"/>
      <c r="D90" s="324"/>
      <c r="E90" s="324"/>
      <c r="F90" s="324"/>
      <c r="G90" s="324"/>
      <c r="H90" s="324"/>
      <c r="I90" s="324"/>
      <c r="J90" s="324"/>
    </row>
    <row r="91" spans="2:10" ht="15.75" customHeight="1"/>
    <row r="92" spans="2:10" ht="15.75" customHeight="1">
      <c r="B92" s="215" t="s">
        <v>142</v>
      </c>
      <c r="C92" s="215" t="s">
        <v>426</v>
      </c>
      <c r="D92" s="215" t="s">
        <v>145</v>
      </c>
      <c r="E92" s="215" t="s">
        <v>146</v>
      </c>
      <c r="F92" s="215" t="s">
        <v>147</v>
      </c>
      <c r="G92" s="215" t="s">
        <v>148</v>
      </c>
      <c r="H92" s="215" t="s">
        <v>149</v>
      </c>
      <c r="I92" s="215" t="s">
        <v>150</v>
      </c>
      <c r="J92" s="215" t="s">
        <v>151</v>
      </c>
    </row>
    <row r="93" spans="2:10" ht="15.75" customHeight="1">
      <c r="B93" s="226"/>
      <c r="C93" s="226"/>
      <c r="D93" s="227"/>
      <c r="E93" s="227"/>
      <c r="F93" s="227"/>
      <c r="G93" s="227"/>
      <c r="H93" s="227"/>
      <c r="I93" s="227"/>
      <c r="J93" s="227"/>
    </row>
    <row r="94" spans="2:10" ht="15.75" customHeight="1">
      <c r="B94" s="139" t="s">
        <v>464</v>
      </c>
      <c r="C94" s="228">
        <f>'1.Project Cost and MOF'!D12</f>
        <v>24364008.974719726</v>
      </c>
      <c r="D94" s="227"/>
      <c r="E94" s="227"/>
      <c r="F94" s="227"/>
      <c r="G94" s="227"/>
      <c r="H94" s="227"/>
      <c r="I94" s="227"/>
      <c r="J94" s="227"/>
    </row>
    <row r="95" spans="2:10" ht="15.75" customHeight="1">
      <c r="B95" s="139" t="str">
        <f>B58</f>
        <v>Profit after Tax &amp; Dividend</v>
      </c>
      <c r="C95" s="139"/>
      <c r="D95" s="229">
        <f>'6.Cons Profit &amp; Loss'!B51</f>
        <v>1813193.1276371779</v>
      </c>
      <c r="E95" s="229">
        <f>'6.Cons Profit &amp; Loss'!C51</f>
        <v>2924432.9042113838</v>
      </c>
      <c r="F95" s="229">
        <f>'6.Cons Profit &amp; Loss'!D51</f>
        <v>3980915.884746213</v>
      </c>
      <c r="G95" s="229">
        <f>'6.Cons Profit &amp; Loss'!E51</f>
        <v>4899420.0859196084</v>
      </c>
      <c r="H95" s="229">
        <f>'6.Cons Profit &amp; Loss'!F51</f>
        <v>5667117.5885252487</v>
      </c>
      <c r="I95" s="229">
        <f>'6.Cons Profit &amp; Loss'!G51</f>
        <v>6302543.8933873475</v>
      </c>
      <c r="J95" s="229">
        <f>'6.Cons Profit &amp; Loss'!H51</f>
        <v>6870152.7571061924</v>
      </c>
    </row>
    <row r="96" spans="2:10" ht="15.75" customHeight="1">
      <c r="B96" s="139" t="str">
        <f t="shared" ref="B96:B97" si="11">B60</f>
        <v>Add: Deprication</v>
      </c>
      <c r="C96" s="139"/>
      <c r="D96" s="229">
        <f>'6.Cons Profit &amp; Loss'!B42</f>
        <v>1050659.8939999999</v>
      </c>
      <c r="E96" s="229">
        <f>'6.Cons Profit &amp; Loss'!C42</f>
        <v>1050659.8939999999</v>
      </c>
      <c r="F96" s="229">
        <f>'6.Cons Profit &amp; Loss'!D42</f>
        <v>1050659.8939999999</v>
      </c>
      <c r="G96" s="229">
        <f>'6.Cons Profit &amp; Loss'!E42</f>
        <v>1050659.8939999999</v>
      </c>
      <c r="H96" s="229">
        <f>'6.Cons Profit &amp; Loss'!F42</f>
        <v>1050659.8939999999</v>
      </c>
      <c r="I96" s="229">
        <f>'6.Cons Profit &amp; Loss'!G42</f>
        <v>1050659.8939999999</v>
      </c>
      <c r="J96" s="229">
        <f>'6.Cons Profit &amp; Loss'!H42</f>
        <v>1050659.8939999999</v>
      </c>
    </row>
    <row r="97" spans="2:10" ht="15.75" customHeight="1">
      <c r="B97" s="139" t="str">
        <f t="shared" si="11"/>
        <v>Add. Preliminary exp Written off</v>
      </c>
      <c r="C97" s="139"/>
      <c r="D97" s="229">
        <f>'6.Cons Profit &amp; Loss'!B43</f>
        <v>100000</v>
      </c>
      <c r="E97" s="229">
        <f>'6.Cons Profit &amp; Loss'!C43</f>
        <v>100000</v>
      </c>
      <c r="F97" s="229">
        <f>'6.Cons Profit &amp; Loss'!D43</f>
        <v>100000</v>
      </c>
      <c r="G97" s="229">
        <f>'6.Cons Profit &amp; Loss'!E43</f>
        <v>100000</v>
      </c>
      <c r="H97" s="229">
        <f>'6.Cons Profit &amp; Loss'!F43</f>
        <v>100000</v>
      </c>
      <c r="I97" s="229">
        <f>'6.Cons Profit &amp; Loss'!G43</f>
        <v>0</v>
      </c>
      <c r="J97" s="229">
        <f>'6.Cons Profit &amp; Loss'!H43</f>
        <v>0</v>
      </c>
    </row>
    <row r="98" spans="2:10" ht="15.75" customHeight="1">
      <c r="B98" s="139" t="str">
        <f>B63</f>
        <v xml:space="preserve">Net Cash Accrual (A)      </v>
      </c>
      <c r="C98" s="139"/>
      <c r="D98" s="229">
        <f t="shared" ref="D98:J98" si="12">SUM(D95:D97)</f>
        <v>2963853.021637178</v>
      </c>
      <c r="E98" s="229">
        <f t="shared" si="12"/>
        <v>4075092.7982113836</v>
      </c>
      <c r="F98" s="229">
        <f t="shared" si="12"/>
        <v>5131575.7787462128</v>
      </c>
      <c r="G98" s="229">
        <f t="shared" si="12"/>
        <v>6050079.9799196087</v>
      </c>
      <c r="H98" s="229">
        <f t="shared" si="12"/>
        <v>6817777.4825252481</v>
      </c>
      <c r="I98" s="229">
        <f t="shared" si="12"/>
        <v>7353203.7873873468</v>
      </c>
      <c r="J98" s="229">
        <f t="shared" si="12"/>
        <v>7920812.6511061918</v>
      </c>
    </row>
    <row r="99" spans="2:10" ht="15.75" customHeight="1">
      <c r="B99" s="139" t="s">
        <v>465</v>
      </c>
      <c r="C99" s="230"/>
      <c r="D99" s="231">
        <f>D98-C94</f>
        <v>-21400155.953082547</v>
      </c>
      <c r="E99" s="231">
        <f t="shared" ref="E99:H99" si="13">D99+E98</f>
        <v>-17325063.154871162</v>
      </c>
      <c r="F99" s="231">
        <f t="shared" si="13"/>
        <v>-12193487.376124948</v>
      </c>
      <c r="G99" s="231">
        <f t="shared" si="13"/>
        <v>-6143407.3962053396</v>
      </c>
      <c r="H99" s="231">
        <f t="shared" si="13"/>
        <v>674370.0863199085</v>
      </c>
      <c r="I99" s="232"/>
      <c r="J99" s="232"/>
    </row>
    <row r="100" spans="2:10" ht="15.75" customHeight="1"/>
    <row r="101" spans="2:10" ht="15.75" customHeight="1">
      <c r="B101" s="163" t="s">
        <v>466</v>
      </c>
      <c r="D101" s="233">
        <f>4+(-G99/H98)</f>
        <v>4.9010865215169614</v>
      </c>
    </row>
    <row r="102" spans="2:10" ht="15.75" customHeight="1"/>
    <row r="103" spans="2:10" ht="15.75" customHeight="1">
      <c r="B103" s="376" t="s">
        <v>467</v>
      </c>
      <c r="C103" s="324"/>
      <c r="D103" s="324"/>
      <c r="E103" s="324"/>
      <c r="F103" s="324"/>
      <c r="G103" s="324"/>
      <c r="H103" s="324"/>
      <c r="I103" s="324"/>
      <c r="J103" s="324"/>
    </row>
    <row r="104" spans="2:10" ht="15.75" customHeight="1"/>
    <row r="105" spans="2:10" ht="15.75" customHeight="1">
      <c r="B105" s="340" t="s">
        <v>468</v>
      </c>
      <c r="C105" s="324"/>
      <c r="D105" s="324"/>
      <c r="E105" s="324"/>
      <c r="F105" s="324"/>
      <c r="G105" s="324"/>
      <c r="H105" s="324"/>
      <c r="I105" s="324"/>
    </row>
    <row r="106" spans="2:10" ht="15.75" customHeight="1"/>
    <row r="107" spans="2:10" ht="15.75" customHeight="1">
      <c r="B107" s="222" t="s">
        <v>142</v>
      </c>
      <c r="C107" s="222" t="s">
        <v>145</v>
      </c>
      <c r="D107" s="222" t="s">
        <v>146</v>
      </c>
      <c r="E107" s="222" t="s">
        <v>147</v>
      </c>
      <c r="F107" s="222" t="s">
        <v>148</v>
      </c>
      <c r="G107" s="222" t="s">
        <v>149</v>
      </c>
      <c r="H107" s="222" t="s">
        <v>150</v>
      </c>
      <c r="I107" s="222" t="s">
        <v>151</v>
      </c>
    </row>
    <row r="108" spans="2:10" ht="15.75" customHeight="1">
      <c r="B108" s="223"/>
      <c r="C108" s="224"/>
      <c r="D108" s="224"/>
      <c r="E108" s="224"/>
      <c r="F108" s="224"/>
      <c r="G108" s="224"/>
      <c r="H108" s="224"/>
      <c r="I108" s="224"/>
    </row>
    <row r="109" spans="2:10" ht="15.75" customHeight="1">
      <c r="B109" s="78" t="s">
        <v>469</v>
      </c>
      <c r="C109" s="80">
        <f>+'6.Cons Profit &amp; Loss'!B45</f>
        <v>3828743.2644999861</v>
      </c>
      <c r="D109" s="80">
        <f>+'6.Cons Profit &amp; Loss'!C45</f>
        <v>5575841.9474531356</v>
      </c>
      <c r="E109" s="80">
        <f>+'6.Cons Profit &amp; Loss'!D45</f>
        <v>6775117.3203927968</v>
      </c>
      <c r="F109" s="80">
        <f>+'6.Cons Profit &amp; Loss'!E45</f>
        <v>7952813.1550978068</v>
      </c>
      <c r="G109" s="80">
        <f>+'6.Cons Profit &amp; Loss'!F45</f>
        <v>9168420.4367373977</v>
      </c>
      <c r="H109" s="80">
        <f>+'6.Cons Profit &amp; Loss'!G45</f>
        <v>10196869.436646873</v>
      </c>
      <c r="I109" s="80">
        <f>+'6.Cons Profit &amp; Loss'!H45</f>
        <v>11130716.050289148</v>
      </c>
    </row>
    <row r="110" spans="2:10" ht="15.75" customHeight="1">
      <c r="B110" s="78" t="s">
        <v>470</v>
      </c>
      <c r="C110" s="80">
        <f>'6.Cons Profit &amp; Loss'!B42</f>
        <v>1050659.8939999999</v>
      </c>
      <c r="D110" s="80">
        <f>'6.Cons Profit &amp; Loss'!C42</f>
        <v>1050659.8939999999</v>
      </c>
      <c r="E110" s="80">
        <f>'6.Cons Profit &amp; Loss'!D42</f>
        <v>1050659.8939999999</v>
      </c>
      <c r="F110" s="80">
        <f>'6.Cons Profit &amp; Loss'!E42</f>
        <v>1050659.8939999999</v>
      </c>
      <c r="G110" s="80">
        <f>'6.Cons Profit &amp; Loss'!F42</f>
        <v>1050659.8939999999</v>
      </c>
      <c r="H110" s="80">
        <f>'6.Cons Profit &amp; Loss'!G42</f>
        <v>1050659.8939999999</v>
      </c>
      <c r="I110" s="80">
        <f>'6.Cons Profit &amp; Loss'!H42</f>
        <v>1050659.8939999999</v>
      </c>
    </row>
    <row r="111" spans="2:10" ht="15.75" customHeight="1">
      <c r="B111" s="78" t="s">
        <v>471</v>
      </c>
      <c r="C111" s="80">
        <f>'6.Cons Profit &amp; Loss'!B43</f>
        <v>100000</v>
      </c>
      <c r="D111" s="80">
        <f>'6.Cons Profit &amp; Loss'!C43</f>
        <v>100000</v>
      </c>
      <c r="E111" s="80">
        <f>'6.Cons Profit &amp; Loss'!D43</f>
        <v>100000</v>
      </c>
      <c r="F111" s="80">
        <f>'6.Cons Profit &amp; Loss'!E43</f>
        <v>100000</v>
      </c>
      <c r="G111" s="80">
        <f>'6.Cons Profit &amp; Loss'!F43</f>
        <v>100000</v>
      </c>
      <c r="H111" s="80">
        <f>'6.Cons Profit &amp; Loss'!G43</f>
        <v>0</v>
      </c>
      <c r="I111" s="80">
        <f>'6.Cons Profit &amp; Loss'!H43</f>
        <v>0</v>
      </c>
    </row>
    <row r="112" spans="2:10" ht="15.75" customHeight="1">
      <c r="B112" s="78" t="s">
        <v>715</v>
      </c>
      <c r="C112" s="80">
        <f>'8.Cash Flow '!C26</f>
        <v>998824.6657740362</v>
      </c>
      <c r="D112" s="80">
        <f>'8.Cash Flow '!D26</f>
        <v>673334.62154912576</v>
      </c>
      <c r="E112" s="80">
        <f>'8.Cash Flow '!E26</f>
        <v>249333.68145901279</v>
      </c>
      <c r="F112" s="80">
        <f>'8.Cash Flow '!F26</f>
        <v>1.8086361455691852E-9</v>
      </c>
      <c r="G112" s="80">
        <f>'8.Cash Flow '!G26</f>
        <v>2.038016479228767E-9</v>
      </c>
      <c r="H112" s="80">
        <f>'8.Cash Flow '!H26</f>
        <v>2.296487980616407E-9</v>
      </c>
      <c r="I112" s="80">
        <f>'8.Cash Flow '!I26</f>
        <v>2.5877401379557888E-9</v>
      </c>
    </row>
    <row r="113" spans="2:18" ht="15.75" customHeight="1">
      <c r="B113" s="81" t="s">
        <v>82</v>
      </c>
      <c r="C113" s="82">
        <f t="shared" ref="C113:I113" si="14">SUM(C109:C112)</f>
        <v>5978227.8242740221</v>
      </c>
      <c r="D113" s="82">
        <f t="shared" si="14"/>
        <v>7399836.4630022608</v>
      </c>
      <c r="E113" s="82">
        <f t="shared" si="14"/>
        <v>8175110.8958518086</v>
      </c>
      <c r="F113" s="82">
        <f t="shared" si="14"/>
        <v>9103473.0490978081</v>
      </c>
      <c r="G113" s="82">
        <f>SUM(G109:G112)</f>
        <v>10319080.330737399</v>
      </c>
      <c r="H113" s="82">
        <f>SUM(H109:H112)</f>
        <v>11247529.330646874</v>
      </c>
      <c r="I113" s="82">
        <f t="shared" si="14"/>
        <v>12181375.94428915</v>
      </c>
    </row>
    <row r="114" spans="2:18" ht="15.75" customHeight="1">
      <c r="B114" s="78"/>
      <c r="C114" s="78"/>
      <c r="D114" s="78"/>
      <c r="E114" s="78"/>
      <c r="F114" s="78"/>
      <c r="G114" s="78"/>
      <c r="H114" s="78"/>
      <c r="I114" s="78"/>
    </row>
    <row r="115" spans="2:18" ht="15.75" customHeight="1">
      <c r="B115" s="78" t="s">
        <v>472</v>
      </c>
      <c r="C115" s="82">
        <f>'8.Cash Flow '!C25+'8.Cash Flow '!C26</f>
        <v>2526552.5954869241</v>
      </c>
      <c r="D115" s="82">
        <f>'8.Cash Flow '!D25+'8.Cash Flow '!D26</f>
        <v>4016530.6740074814</v>
      </c>
      <c r="E115" s="82">
        <f>'8.Cash Flow '!E25+'8.Cash Flow '!E26</f>
        <v>4016530.6740074819</v>
      </c>
      <c r="F115" s="82">
        <f>'8.Cash Flow '!F25+'8.Cash Flow '!F26</f>
        <v>0</v>
      </c>
      <c r="G115" s="82">
        <f>'8.Cash Flow '!G25+'8.Cash Flow '!G26</f>
        <v>0</v>
      </c>
      <c r="H115" s="82">
        <f>'8.Cash Flow '!H25+'8.Cash Flow '!H26</f>
        <v>0</v>
      </c>
      <c r="I115" s="82">
        <f>'8.Cash Flow '!I25+'8.Cash Flow '!I26</f>
        <v>0</v>
      </c>
    </row>
    <row r="116" spans="2:18" ht="15.75" customHeight="1">
      <c r="B116" s="78"/>
      <c r="C116" s="78"/>
      <c r="D116" s="78"/>
      <c r="E116" s="78"/>
      <c r="F116" s="78"/>
      <c r="G116" s="78"/>
      <c r="H116" s="78"/>
      <c r="I116" s="78"/>
    </row>
    <row r="117" spans="2:18" ht="15.75" customHeight="1">
      <c r="B117" s="81" t="s">
        <v>473</v>
      </c>
      <c r="C117" s="234">
        <f>C113/C115</f>
        <v>2.3661600534074303</v>
      </c>
      <c r="D117" s="234">
        <f>D113/D115</f>
        <v>1.8423453133047023</v>
      </c>
      <c r="E117" s="234">
        <f>E113/E115</f>
        <v>2.0353662300542363</v>
      </c>
      <c r="F117" s="234">
        <v>0</v>
      </c>
      <c r="G117" s="234">
        <v>0</v>
      </c>
      <c r="H117" s="234">
        <v>0</v>
      </c>
      <c r="I117" s="234">
        <v>0</v>
      </c>
    </row>
    <row r="118" spans="2:18" ht="15.75" customHeight="1">
      <c r="B118" s="73"/>
      <c r="C118" s="73"/>
      <c r="D118" s="73"/>
      <c r="E118" s="73"/>
      <c r="F118" s="73"/>
      <c r="G118" s="73"/>
      <c r="H118" s="73"/>
      <c r="I118" s="73"/>
    </row>
    <row r="119" spans="2:18" ht="15.75" customHeight="1">
      <c r="B119" s="73" t="s">
        <v>474</v>
      </c>
      <c r="C119" s="127">
        <f>AVERAGE(C117:E117)</f>
        <v>2.0812905322554562</v>
      </c>
      <c r="D119" s="73"/>
      <c r="E119" s="73"/>
      <c r="F119" s="73"/>
      <c r="G119" s="73"/>
      <c r="H119" s="73"/>
      <c r="I119" s="73"/>
    </row>
    <row r="120" spans="2:18" ht="15.75" customHeight="1"/>
    <row r="121" spans="2:18" ht="29.25" customHeight="1">
      <c r="B121" s="346" t="s">
        <v>475</v>
      </c>
      <c r="C121" s="346"/>
      <c r="D121" s="346"/>
      <c r="E121" s="346"/>
      <c r="F121" s="346"/>
      <c r="G121" s="346"/>
      <c r="H121" s="346"/>
      <c r="I121" s="346"/>
    </row>
    <row r="122" spans="2:18" ht="15.75" customHeight="1"/>
    <row r="123" spans="2:18" ht="15.75" customHeight="1">
      <c r="B123" s="375" t="s">
        <v>476</v>
      </c>
      <c r="C123" s="326"/>
      <c r="D123" s="326"/>
      <c r="E123" s="326"/>
      <c r="F123" s="326"/>
      <c r="G123" s="326"/>
      <c r="H123" s="326"/>
      <c r="I123" s="326"/>
      <c r="K123" s="374"/>
      <c r="L123" s="324"/>
      <c r="M123" s="324"/>
      <c r="N123" s="324"/>
      <c r="O123" s="324"/>
      <c r="P123" s="324"/>
      <c r="Q123" s="324"/>
      <c r="R123" s="324"/>
    </row>
    <row r="124" spans="2:18" ht="15.75" customHeight="1">
      <c r="B124" s="129" t="s">
        <v>477</v>
      </c>
      <c r="C124" s="130" t="s">
        <v>145</v>
      </c>
      <c r="D124" s="130" t="s">
        <v>146</v>
      </c>
      <c r="E124" s="130" t="s">
        <v>147</v>
      </c>
      <c r="F124" s="130" t="s">
        <v>148</v>
      </c>
      <c r="G124" s="130" t="s">
        <v>149</v>
      </c>
      <c r="H124" s="130" t="s">
        <v>150</v>
      </c>
      <c r="I124" s="130" t="s">
        <v>151</v>
      </c>
    </row>
    <row r="125" spans="2:18" ht="15.75" customHeight="1">
      <c r="B125" s="78" t="str">
        <f>'6.Cons Profit &amp; Loss'!A8</f>
        <v>Faclitiy 1 - Cleaning &amp; Grading</v>
      </c>
      <c r="C125" s="80">
        <f>'6.Cons Profit &amp; Loss'!B8*(1+$M$126)</f>
        <v>1889292.9923437499</v>
      </c>
      <c r="D125" s="80">
        <f>'6.Cons Profit &amp; Loss'!C8*(1+$M$126)</f>
        <v>2231993.6949023441</v>
      </c>
      <c r="E125" s="80">
        <f>'6.Cons Profit &amp; Loss'!D8*(1+$M$126)</f>
        <v>2499832.9382906249</v>
      </c>
      <c r="F125" s="80">
        <f>'6.Cons Profit &amp; Loss'!E8*(1+$M$126)</f>
        <v>2788876.1217804784</v>
      </c>
      <c r="G125" s="80">
        <f>'6.Cons Profit &amp; Loss'!F8*(1+$M$126)</f>
        <v>3100574.0412735916</v>
      </c>
      <c r="H125" s="80">
        <f>'6.Cons Profit &amp; Loss'!G8*(1+$M$126)</f>
        <v>3436469.5624115635</v>
      </c>
      <c r="I125" s="80">
        <f>'6.Cons Profit &amp; Loss'!H8*(1+$M$126)</f>
        <v>3798203.2005601497</v>
      </c>
    </row>
    <row r="126" spans="2:18" ht="15.75" customHeight="1">
      <c r="B126" s="78" t="str">
        <f>'6.Cons Profit &amp; Loss'!A9</f>
        <v>Faclitiy 2 - Processing Unit Paddy &amp; Rice</v>
      </c>
      <c r="C126" s="80">
        <f>'6.Cons Profit &amp; Loss'!B9*(1+$M$126)</f>
        <v>96267832.673906252</v>
      </c>
      <c r="D126" s="80">
        <f>'6.Cons Profit &amp; Loss'!C9*(1+$M$126)</f>
        <v>106254996.27307034</v>
      </c>
      <c r="E126" s="80">
        <f>'6.Cons Profit &amp; Loss'!D9*(1+$M$126)</f>
        <v>112536482.86250508</v>
      </c>
      <c r="F126" s="80">
        <f>'6.Cons Profit &amp; Loss'!E9*(1+$M$126)</f>
        <v>119180480.62020066</v>
      </c>
      <c r="G126" s="80">
        <f>'6.Cons Profit &amp; Loss'!F9*(1+$M$126)</f>
        <v>126207536.94650953</v>
      </c>
      <c r="H126" s="80">
        <f>'6.Cons Profit &amp; Loss'!G9*(1+$M$126)</f>
        <v>133639347.70389874</v>
      </c>
      <c r="I126" s="80">
        <f>'6.Cons Profit &amp; Loss'!H9*(1+$M$126)</f>
        <v>141498820.69466066</v>
      </c>
      <c r="L126" s="163" t="s">
        <v>478</v>
      </c>
      <c r="M126" s="235">
        <v>0.05</v>
      </c>
    </row>
    <row r="127" spans="2:18" ht="15.75" customHeight="1">
      <c r="B127" s="78" t="str">
        <f>'6.Cons Profit &amp; Loss'!A10</f>
        <v>Faclitiy 3 - Warehouse</v>
      </c>
      <c r="C127" s="80">
        <f>'6.Cons Profit &amp; Loss'!B10*(1+$M$126)</f>
        <v>5040000</v>
      </c>
      <c r="D127" s="80">
        <f>'6.Cons Profit &amp; Loss'!C10*(1+$M$126)</f>
        <v>5408550.0000000009</v>
      </c>
      <c r="E127" s="80">
        <f>'6.Cons Profit &amp; Loss'!D10*(1+$M$126)</f>
        <v>5783400.0000000009</v>
      </c>
      <c r="F127" s="80">
        <f>'6.Cons Profit &amp; Loss'!E10*(1+$M$126)</f>
        <v>6164550.0000000019</v>
      </c>
      <c r="G127" s="80">
        <f>'6.Cons Profit &amp; Loss'!F10*(1+$M$126)</f>
        <v>6552000.0000000019</v>
      </c>
      <c r="H127" s="80">
        <f>'6.Cons Profit &amp; Loss'!G10*(1+$M$126)</f>
        <v>6615000.0000000019</v>
      </c>
      <c r="I127" s="80">
        <f>'6.Cons Profit &amp; Loss'!H10*(1+$M$126)</f>
        <v>6678000.0000000019</v>
      </c>
      <c r="L127" s="163" t="s">
        <v>479</v>
      </c>
      <c r="M127" s="235">
        <v>0.05</v>
      </c>
    </row>
    <row r="128" spans="2:18" ht="15.75" customHeight="1">
      <c r="B128" s="78" t="str">
        <f>'6.Cons Profit &amp; Loss'!A11</f>
        <v xml:space="preserve">Faclitiy 4 - Custom Hiring </v>
      </c>
      <c r="C128" s="80">
        <f>'6.Cons Profit &amp; Loss'!B11*(1+$M$126)</f>
        <v>2216025</v>
      </c>
      <c r="D128" s="80">
        <f>'6.Cons Profit &amp; Loss'!C11*(1+$M$126)</f>
        <v>2260345.5</v>
      </c>
      <c r="E128" s="80">
        <f>'6.Cons Profit &amp; Loss'!D11*(1+$M$126)</f>
        <v>2282505.75</v>
      </c>
      <c r="F128" s="80">
        <f>'6.Cons Profit &amp; Loss'!E11*(1+$M$126)</f>
        <v>2442281.1525000003</v>
      </c>
      <c r="G128" s="80">
        <f>'6.Cons Profit &amp; Loss'!F11*(1+$M$126)</f>
        <v>2637663.6447000001</v>
      </c>
      <c r="H128" s="80">
        <f>'6.Cons Profit &amp; Loss'!G11*(1+$M$126)</f>
        <v>2875053.3727230006</v>
      </c>
      <c r="I128" s="80">
        <f>'6.Cons Profit &amp; Loss'!H11*(1+$M$126)</f>
        <v>3220059.7774497597</v>
      </c>
    </row>
    <row r="129" spans="2:9" ht="15.75" customHeight="1">
      <c r="B129" s="78" t="str">
        <f>'6.Cons Profit &amp; Loss'!A12</f>
        <v>Faclitiy 5 - Agri Input Centre</v>
      </c>
      <c r="C129" s="80">
        <f>'6.Cons Profit &amp; Loss'!B12*(1+$M$126)</f>
        <v>0</v>
      </c>
      <c r="D129" s="80">
        <f>'6.Cons Profit &amp; Loss'!C12*(1+$M$126)</f>
        <v>0</v>
      </c>
      <c r="E129" s="80">
        <f>'6.Cons Profit &amp; Loss'!D12*(1+$M$126)</f>
        <v>0</v>
      </c>
      <c r="F129" s="80">
        <f>'6.Cons Profit &amp; Loss'!E12*(1+$M$126)</f>
        <v>0</v>
      </c>
      <c r="G129" s="80">
        <f>'6.Cons Profit &amp; Loss'!F12*(1+$M$126)</f>
        <v>0</v>
      </c>
      <c r="H129" s="80">
        <f>'6.Cons Profit &amp; Loss'!G12*(1+$M$126)</f>
        <v>0</v>
      </c>
      <c r="I129" s="80">
        <f>'6.Cons Profit &amp; Loss'!H12*(1+$M$126)</f>
        <v>0</v>
      </c>
    </row>
    <row r="130" spans="2:9" ht="15.75" customHeight="1">
      <c r="B130" s="78" t="str">
        <f>'6.Cons Profit &amp; Loss'!A13</f>
        <v>Facility 6 - Processing Unit - Horti Commodity</v>
      </c>
      <c r="C130" s="80">
        <f>'6.Cons Profit &amp; Loss'!B13*(1+$M$126)</f>
        <v>0</v>
      </c>
      <c r="D130" s="80">
        <f>'6.Cons Profit &amp; Loss'!C13*(1+$M$126)</f>
        <v>0</v>
      </c>
      <c r="E130" s="80">
        <f>'6.Cons Profit &amp; Loss'!D13*(1+$M$126)</f>
        <v>0</v>
      </c>
      <c r="F130" s="80">
        <f>'6.Cons Profit &amp; Loss'!E13*(1+$M$126)</f>
        <v>0</v>
      </c>
      <c r="G130" s="80">
        <f>'6.Cons Profit &amp; Loss'!F13*(1+$M$126)</f>
        <v>0</v>
      </c>
      <c r="H130" s="80">
        <f>'6.Cons Profit &amp; Loss'!G13*(1+$M$126)</f>
        <v>0</v>
      </c>
      <c r="I130" s="80">
        <f>'6.Cons Profit &amp; Loss'!H13*(1+$M$126)</f>
        <v>0</v>
      </c>
    </row>
    <row r="131" spans="2:9" ht="15.75" customHeight="1">
      <c r="B131" s="78">
        <f>'6.Cons Profit &amp; Loss'!A14</f>
        <v>0</v>
      </c>
      <c r="C131" s="80">
        <f>'6.Cons Profit &amp; Loss'!B14*(1+$M$126)</f>
        <v>0</v>
      </c>
      <c r="D131" s="80">
        <f>'6.Cons Profit &amp; Loss'!C14*(1+$M$126)</f>
        <v>0</v>
      </c>
      <c r="E131" s="80">
        <f>'6.Cons Profit &amp; Loss'!D14*(1+$M$126)</f>
        <v>0</v>
      </c>
      <c r="F131" s="80">
        <f>'6.Cons Profit &amp; Loss'!E14*(1+$M$126)</f>
        <v>0</v>
      </c>
      <c r="G131" s="80">
        <f>'6.Cons Profit &amp; Loss'!F14*(1+$M$126)</f>
        <v>0</v>
      </c>
      <c r="H131" s="80">
        <f>'6.Cons Profit &amp; Loss'!G14*(1+$M$126)</f>
        <v>0</v>
      </c>
      <c r="I131" s="80">
        <f>'6.Cons Profit &amp; Loss'!H14*(1+$M$126)</f>
        <v>0</v>
      </c>
    </row>
    <row r="132" spans="2:9" ht="15.75" customHeight="1">
      <c r="B132" s="78" t="s">
        <v>480</v>
      </c>
      <c r="C132" s="80">
        <f t="shared" ref="C132:I132" si="15">SUM(C125:C131)</f>
        <v>105413150.66625001</v>
      </c>
      <c r="D132" s="80">
        <f t="shared" si="15"/>
        <v>116155885.46797268</v>
      </c>
      <c r="E132" s="80">
        <f t="shared" si="15"/>
        <v>123102221.5507957</v>
      </c>
      <c r="F132" s="80">
        <f t="shared" si="15"/>
        <v>130576187.89448115</v>
      </c>
      <c r="G132" s="80">
        <f t="shared" si="15"/>
        <v>138497774.63248312</v>
      </c>
      <c r="H132" s="80">
        <f t="shared" si="15"/>
        <v>146565870.63903332</v>
      </c>
      <c r="I132" s="80">
        <f t="shared" si="15"/>
        <v>155195083.67267057</v>
      </c>
    </row>
    <row r="133" spans="2:9" ht="15.75" customHeight="1">
      <c r="B133" s="78" t="s">
        <v>481</v>
      </c>
      <c r="C133" s="80"/>
      <c r="D133" s="80"/>
      <c r="E133" s="80"/>
      <c r="F133" s="80"/>
      <c r="G133" s="80"/>
      <c r="H133" s="80"/>
      <c r="I133" s="80"/>
    </row>
    <row r="134" spans="2:9" ht="15.75" customHeight="1">
      <c r="B134" s="78" t="s">
        <v>482</v>
      </c>
      <c r="C134" s="80">
        <f>'6.Cons Profit &amp; Loss'!B36</f>
        <v>2939000</v>
      </c>
      <c r="D134" s="80">
        <f>'6.Cons Profit &amp; Loss'!C36</f>
        <v>3080190</v>
      </c>
      <c r="E134" s="80">
        <f>'6.Cons Profit &amp; Loss'!D36</f>
        <v>3255986.25</v>
      </c>
      <c r="F134" s="80">
        <f>'6.Cons Profit &amp; Loss'!E36</f>
        <v>3510139.2750000004</v>
      </c>
      <c r="G134" s="80">
        <f>'6.Cons Profit &amp; Loss'!F36</f>
        <v>3830761.0563750006</v>
      </c>
      <c r="H134" s="80">
        <f>'6.Cons Profit &amp; Loss'!G36</f>
        <v>4235845.5105112502</v>
      </c>
      <c r="I134" s="80">
        <f>'6.Cons Profit &amp; Loss'!H36</f>
        <v>4764124.7652843194</v>
      </c>
    </row>
    <row r="135" spans="2:9" ht="15.75" customHeight="1">
      <c r="B135" s="78" t="s">
        <v>346</v>
      </c>
      <c r="C135" s="80">
        <f>'6.Cons Profit &amp; Loss'!B25*(1+M126)</f>
        <v>97098827.34982501</v>
      </c>
      <c r="D135" s="80">
        <f>'6.Cons Profit &amp; Loss'!C25*(1+N126)</f>
        <v>100817960.98518752</v>
      </c>
      <c r="E135" s="80">
        <f>'6.Cons Profit &amp; Loss'!D25*(1+O126)</f>
        <v>106058447.536365</v>
      </c>
      <c r="F135" s="80">
        <f>'6.Cons Profit &amp; Loss'!E25*(1+P126)</f>
        <v>111744661.86112231</v>
      </c>
      <c r="G135" s="80">
        <f>'6.Cons Profit &amp; Loss'!F25*(1+Q126)</f>
        <v>117752801.12001438</v>
      </c>
      <c r="H135" s="80">
        <f>'6.Cons Profit &amp; Loss'!G25*(1+R126)</f>
        <v>124103168.62458789</v>
      </c>
      <c r="I135" s="80">
        <f>'6.Cons Profit &amp; Loss'!H25*(1+S126)</f>
        <v>130859340.88344611</v>
      </c>
    </row>
    <row r="136" spans="2:9" ht="15.75" customHeight="1">
      <c r="B136" s="78" t="s">
        <v>483</v>
      </c>
      <c r="C136" s="80">
        <f t="shared" ref="C136:I136" si="16">SUM(C134:C135)</f>
        <v>100037827.34982501</v>
      </c>
      <c r="D136" s="80">
        <f t="shared" si="16"/>
        <v>103898150.98518752</v>
      </c>
      <c r="E136" s="80">
        <f t="shared" si="16"/>
        <v>109314433.786365</v>
      </c>
      <c r="F136" s="80">
        <f t="shared" si="16"/>
        <v>115254801.13612232</v>
      </c>
      <c r="G136" s="80">
        <f t="shared" si="16"/>
        <v>121583562.17638938</v>
      </c>
      <c r="H136" s="80">
        <f t="shared" si="16"/>
        <v>128339014.13509914</v>
      </c>
      <c r="I136" s="80">
        <f t="shared" si="16"/>
        <v>135623465.64873043</v>
      </c>
    </row>
    <row r="137" spans="2:9" ht="15.75" customHeight="1">
      <c r="B137" s="81" t="s">
        <v>484</v>
      </c>
      <c r="C137" s="82">
        <f t="shared" ref="C137:I137" si="17">+C132-C136</f>
        <v>5375323.3164249957</v>
      </c>
      <c r="D137" s="82">
        <f t="shared" si="17"/>
        <v>12257734.482785165</v>
      </c>
      <c r="E137" s="82">
        <f t="shared" si="17"/>
        <v>13787787.764430702</v>
      </c>
      <c r="F137" s="82">
        <f t="shared" si="17"/>
        <v>15321386.758358836</v>
      </c>
      <c r="G137" s="82">
        <f t="shared" si="17"/>
        <v>16914212.456093743</v>
      </c>
      <c r="H137" s="82">
        <f t="shared" si="17"/>
        <v>18226856.503934175</v>
      </c>
      <c r="I137" s="82">
        <f t="shared" si="17"/>
        <v>19571618.023940146</v>
      </c>
    </row>
    <row r="138" spans="2:9" ht="15.75" customHeight="1">
      <c r="B138" s="73"/>
      <c r="C138" s="236"/>
      <c r="D138" s="236"/>
      <c r="E138" s="236"/>
      <c r="F138" s="236"/>
      <c r="G138" s="236"/>
      <c r="H138" s="236"/>
      <c r="I138" s="236"/>
    </row>
    <row r="139" spans="2:9" ht="15.75" customHeight="1">
      <c r="B139" s="129" t="s">
        <v>485</v>
      </c>
      <c r="C139" s="130" t="s">
        <v>145</v>
      </c>
      <c r="D139" s="130" t="s">
        <v>146</v>
      </c>
      <c r="E139" s="130" t="s">
        <v>147</v>
      </c>
      <c r="F139" s="130" t="s">
        <v>148</v>
      </c>
      <c r="G139" s="130" t="s">
        <v>149</v>
      </c>
      <c r="H139" s="130" t="s">
        <v>150</v>
      </c>
      <c r="I139" s="130" t="s">
        <v>151</v>
      </c>
    </row>
    <row r="140" spans="2:9" ht="15.75" customHeight="1">
      <c r="B140" s="78" t="str">
        <f t="shared" ref="B140:B146" si="18">B125</f>
        <v>Faclitiy 1 - Cleaning &amp; Grading</v>
      </c>
      <c r="C140" s="237">
        <f>'6.Cons Profit &amp; Loss'!B8</f>
        <v>1799326.6593749998</v>
      </c>
      <c r="D140" s="237">
        <f>'6.Cons Profit &amp; Loss'!C8</f>
        <v>2125708.2808593754</v>
      </c>
      <c r="E140" s="237">
        <f>'6.Cons Profit &amp; Loss'!D8</f>
        <v>2380793.2745625</v>
      </c>
      <c r="F140" s="237">
        <f>'6.Cons Profit &amp; Loss'!E8</f>
        <v>2656072.496933789</v>
      </c>
      <c r="G140" s="237">
        <f>'6.Cons Profit &amp; Loss'!F8</f>
        <v>2952927.6583558014</v>
      </c>
      <c r="H140" s="237">
        <f>'6.Cons Profit &amp; Loss'!G8</f>
        <v>3272828.1546776793</v>
      </c>
      <c r="I140" s="237">
        <f>'6.Cons Profit &amp; Loss'!H8</f>
        <v>3617336.3814858566</v>
      </c>
    </row>
    <row r="141" spans="2:9" ht="15.75" customHeight="1">
      <c r="B141" s="78" t="str">
        <f t="shared" si="18"/>
        <v>Faclitiy 2 - Processing Unit Paddy &amp; Rice</v>
      </c>
      <c r="C141" s="237">
        <f>'6.Cons Profit &amp; Loss'!B9</f>
        <v>91683650.165624991</v>
      </c>
      <c r="D141" s="237">
        <f>'6.Cons Profit &amp; Loss'!C9</f>
        <v>101195234.54578127</v>
      </c>
      <c r="E141" s="237">
        <f>'6.Cons Profit &amp; Loss'!D9</f>
        <v>107177602.72619531</v>
      </c>
      <c r="F141" s="237">
        <f>'6.Cons Profit &amp; Loss'!E9</f>
        <v>113505219.63828634</v>
      </c>
      <c r="G141" s="237">
        <f>'6.Cons Profit &amp; Loss'!F9</f>
        <v>120197654.23477097</v>
      </c>
      <c r="H141" s="237">
        <f>'6.Cons Profit &amp; Loss'!G9</f>
        <v>127275569.24180833</v>
      </c>
      <c r="I141" s="237">
        <f>'6.Cons Profit &amp; Loss'!H9</f>
        <v>134760781.61396253</v>
      </c>
    </row>
    <row r="142" spans="2:9" ht="15.75" customHeight="1">
      <c r="B142" s="78" t="str">
        <f t="shared" si="18"/>
        <v>Faclitiy 3 - Warehouse</v>
      </c>
      <c r="C142" s="237">
        <f>'6.Cons Profit &amp; Loss'!B10</f>
        <v>4800000</v>
      </c>
      <c r="D142" s="237">
        <f>'6.Cons Profit &amp; Loss'!C10</f>
        <v>5151000.0000000009</v>
      </c>
      <c r="E142" s="237">
        <f>'6.Cons Profit &amp; Loss'!D10</f>
        <v>5508000.0000000009</v>
      </c>
      <c r="F142" s="237">
        <f>'6.Cons Profit &amp; Loss'!E10</f>
        <v>5871000.0000000019</v>
      </c>
      <c r="G142" s="237">
        <f>'6.Cons Profit &amp; Loss'!F10</f>
        <v>6240000.0000000019</v>
      </c>
      <c r="H142" s="237">
        <f>'6.Cons Profit &amp; Loss'!G10</f>
        <v>6300000.0000000019</v>
      </c>
      <c r="I142" s="237">
        <f>'6.Cons Profit &amp; Loss'!H10</f>
        <v>6360000.0000000019</v>
      </c>
    </row>
    <row r="143" spans="2:9" ht="15.75" customHeight="1">
      <c r="B143" s="78" t="str">
        <f t="shared" si="18"/>
        <v xml:space="preserve">Faclitiy 4 - Custom Hiring </v>
      </c>
      <c r="C143" s="237">
        <f>'6.Cons Profit &amp; Loss'!B11</f>
        <v>2110500</v>
      </c>
      <c r="D143" s="237">
        <f>'6.Cons Profit &amp; Loss'!C11</f>
        <v>2152710</v>
      </c>
      <c r="E143" s="237">
        <f>'6.Cons Profit &amp; Loss'!D11</f>
        <v>2173815</v>
      </c>
      <c r="F143" s="237">
        <f>'6.Cons Profit &amp; Loss'!E11</f>
        <v>2325982.0500000003</v>
      </c>
      <c r="G143" s="237">
        <f>'6.Cons Profit &amp; Loss'!F11</f>
        <v>2512060.6140000001</v>
      </c>
      <c r="H143" s="237">
        <f>'6.Cons Profit &amp; Loss'!G11</f>
        <v>2738146.0692600003</v>
      </c>
      <c r="I143" s="237">
        <f>'6.Cons Profit &amp; Loss'!H11</f>
        <v>3066723.5975711998</v>
      </c>
    </row>
    <row r="144" spans="2:9" ht="15.75" customHeight="1">
      <c r="B144" s="78" t="str">
        <f t="shared" si="18"/>
        <v>Faclitiy 5 - Agri Input Centre</v>
      </c>
      <c r="C144" s="237">
        <f>'6.Cons Profit &amp; Loss'!B12</f>
        <v>0</v>
      </c>
      <c r="D144" s="237">
        <f>'6.Cons Profit &amp; Loss'!C12</f>
        <v>0</v>
      </c>
      <c r="E144" s="237">
        <f>'6.Cons Profit &amp; Loss'!D12</f>
        <v>0</v>
      </c>
      <c r="F144" s="237">
        <f>'6.Cons Profit &amp; Loss'!E12</f>
        <v>0</v>
      </c>
      <c r="G144" s="237">
        <f>'6.Cons Profit &amp; Loss'!F12</f>
        <v>0</v>
      </c>
      <c r="H144" s="237">
        <f>'6.Cons Profit &amp; Loss'!G12</f>
        <v>0</v>
      </c>
      <c r="I144" s="237">
        <f>'6.Cons Profit &amp; Loss'!H12</f>
        <v>0</v>
      </c>
    </row>
    <row r="145" spans="2:15" ht="15.75" customHeight="1">
      <c r="B145" s="78" t="str">
        <f t="shared" si="18"/>
        <v>Facility 6 - Processing Unit - Horti Commodity</v>
      </c>
      <c r="C145" s="237">
        <f>'6.Cons Profit &amp; Loss'!B13</f>
        <v>0</v>
      </c>
      <c r="D145" s="237">
        <f>'6.Cons Profit &amp; Loss'!C13</f>
        <v>0</v>
      </c>
      <c r="E145" s="237">
        <f>'6.Cons Profit &amp; Loss'!D13</f>
        <v>0</v>
      </c>
      <c r="F145" s="237">
        <f>'6.Cons Profit &amp; Loss'!E13</f>
        <v>0</v>
      </c>
      <c r="G145" s="237">
        <f>'6.Cons Profit &amp; Loss'!F13</f>
        <v>0</v>
      </c>
      <c r="H145" s="237">
        <f>'6.Cons Profit &amp; Loss'!G13</f>
        <v>0</v>
      </c>
      <c r="I145" s="237">
        <f>'6.Cons Profit &amp; Loss'!H13</f>
        <v>0</v>
      </c>
    </row>
    <row r="146" spans="2:15" ht="15.75" customHeight="1">
      <c r="B146" s="78">
        <f t="shared" si="18"/>
        <v>0</v>
      </c>
      <c r="C146" s="237">
        <f>'6.Cons Profit &amp; Loss'!B14</f>
        <v>0</v>
      </c>
      <c r="D146" s="237">
        <f>'6.Cons Profit &amp; Loss'!C14</f>
        <v>0</v>
      </c>
      <c r="E146" s="237">
        <f>'6.Cons Profit &amp; Loss'!D14</f>
        <v>0</v>
      </c>
      <c r="F146" s="237">
        <f>'6.Cons Profit &amp; Loss'!E14</f>
        <v>0</v>
      </c>
      <c r="G146" s="237">
        <f>'6.Cons Profit &amp; Loss'!F14</f>
        <v>0</v>
      </c>
      <c r="H146" s="237">
        <f>'6.Cons Profit &amp; Loss'!G14</f>
        <v>0</v>
      </c>
      <c r="I146" s="237">
        <f>'6.Cons Profit &amp; Loss'!H14</f>
        <v>0</v>
      </c>
    </row>
    <row r="147" spans="2:15" ht="15.75" customHeight="1">
      <c r="B147" s="78" t="s">
        <v>480</v>
      </c>
      <c r="C147" s="237">
        <f t="shared" ref="C147:I147" si="19">SUM(C140:C146)</f>
        <v>100393476.82499999</v>
      </c>
      <c r="D147" s="237">
        <f t="shared" si="19"/>
        <v>110624652.82664065</v>
      </c>
      <c r="E147" s="237">
        <f t="shared" si="19"/>
        <v>117240211.0007578</v>
      </c>
      <c r="F147" s="237">
        <f t="shared" si="19"/>
        <v>124358274.18522012</v>
      </c>
      <c r="G147" s="237">
        <f t="shared" si="19"/>
        <v>131902642.50712678</v>
      </c>
      <c r="H147" s="237">
        <f t="shared" si="19"/>
        <v>139586543.46574602</v>
      </c>
      <c r="I147" s="237">
        <f t="shared" si="19"/>
        <v>147804841.59301957</v>
      </c>
    </row>
    <row r="148" spans="2:15" ht="15.75" customHeight="1">
      <c r="B148" s="78" t="s">
        <v>481</v>
      </c>
      <c r="C148" s="238"/>
      <c r="D148" s="237"/>
      <c r="E148" s="237"/>
      <c r="F148" s="237"/>
      <c r="G148" s="237"/>
      <c r="H148" s="237"/>
      <c r="I148" s="237"/>
    </row>
    <row r="149" spans="2:15" ht="15.75" customHeight="1">
      <c r="B149" s="78" t="s">
        <v>482</v>
      </c>
      <c r="C149" s="239">
        <f>'6.Cons Profit &amp; Loss'!B36</f>
        <v>2939000</v>
      </c>
      <c r="D149" s="239">
        <f>'6.Cons Profit &amp; Loss'!C36</f>
        <v>3080190</v>
      </c>
      <c r="E149" s="239">
        <f>'6.Cons Profit &amp; Loss'!D36</f>
        <v>3255986.25</v>
      </c>
      <c r="F149" s="239">
        <f>'6.Cons Profit &amp; Loss'!E36</f>
        <v>3510139.2750000004</v>
      </c>
      <c r="G149" s="239">
        <f>'6.Cons Profit &amp; Loss'!F36</f>
        <v>3830761.0563750006</v>
      </c>
      <c r="H149" s="239">
        <f>'6.Cons Profit &amp; Loss'!G36</f>
        <v>4235845.5105112502</v>
      </c>
      <c r="I149" s="239">
        <f>'6.Cons Profit &amp; Loss'!H36</f>
        <v>4764124.7652843194</v>
      </c>
    </row>
    <row r="150" spans="2:15" ht="15.75" customHeight="1">
      <c r="B150" s="78" t="s">
        <v>346</v>
      </c>
      <c r="C150" s="239">
        <f>'6.Cons Profit &amp; Loss'!B25*(1+$M$127)</f>
        <v>97098827.34982501</v>
      </c>
      <c r="D150" s="239">
        <f>'6.Cons Profit &amp; Loss'!C25*(1+$M$127)</f>
        <v>105858859.0344469</v>
      </c>
      <c r="E150" s="239">
        <f>'6.Cons Profit &amp; Loss'!D25*(1+$M$127)</f>
        <v>111361369.91318326</v>
      </c>
      <c r="F150" s="239">
        <f>'6.Cons Profit &amp; Loss'!E25*(1+$M$127)</f>
        <v>117331894.95417844</v>
      </c>
      <c r="G150" s="239">
        <f>'6.Cons Profit &amp; Loss'!F25*(1+$M$127)</f>
        <v>123640441.17601511</v>
      </c>
      <c r="H150" s="239">
        <f>'6.Cons Profit &amp; Loss'!G25*(1+$M$127)</f>
        <v>130308327.05581729</v>
      </c>
      <c r="I150" s="239">
        <f>'6.Cons Profit &amp; Loss'!H25*(1+$M$127)</f>
        <v>137402307.92761841</v>
      </c>
    </row>
    <row r="151" spans="2:15" ht="15.75" customHeight="1">
      <c r="B151" s="78" t="s">
        <v>483</v>
      </c>
      <c r="C151" s="239">
        <f t="shared" ref="C151:I151" si="20">SUM(C149:C150)</f>
        <v>100037827.34982501</v>
      </c>
      <c r="D151" s="239">
        <f t="shared" si="20"/>
        <v>108939049.0344469</v>
      </c>
      <c r="E151" s="239">
        <f t="shared" si="20"/>
        <v>114617356.16318326</v>
      </c>
      <c r="F151" s="239">
        <f t="shared" si="20"/>
        <v>120842034.22917844</v>
      </c>
      <c r="G151" s="239">
        <f t="shared" si="20"/>
        <v>127471202.23239011</v>
      </c>
      <c r="H151" s="239">
        <f t="shared" si="20"/>
        <v>134544172.56632856</v>
      </c>
      <c r="I151" s="239">
        <f t="shared" si="20"/>
        <v>142166432.69290274</v>
      </c>
    </row>
    <row r="152" spans="2:15" ht="15.75" customHeight="1">
      <c r="B152" s="81" t="s">
        <v>484</v>
      </c>
      <c r="C152" s="240">
        <f t="shared" ref="C152:I152" si="21">+C147-C151</f>
        <v>355649.47517497838</v>
      </c>
      <c r="D152" s="240">
        <f t="shared" si="21"/>
        <v>1685603.7921937555</v>
      </c>
      <c r="E152" s="240">
        <f t="shared" si="21"/>
        <v>2622854.8375745416</v>
      </c>
      <c r="F152" s="240">
        <f t="shared" si="21"/>
        <v>3516239.9560416788</v>
      </c>
      <c r="G152" s="240">
        <f t="shared" si="21"/>
        <v>4431440.2747366726</v>
      </c>
      <c r="H152" s="240">
        <f t="shared" si="21"/>
        <v>5042370.89941746</v>
      </c>
      <c r="I152" s="240">
        <f t="shared" si="21"/>
        <v>5638408.9001168311</v>
      </c>
      <c r="N152" s="158"/>
      <c r="O152" s="213"/>
    </row>
    <row r="153" spans="2:15" ht="15.75" customHeight="1">
      <c r="B153" s="73"/>
      <c r="C153" s="236"/>
      <c r="D153" s="236"/>
      <c r="E153" s="236"/>
      <c r="F153" s="236"/>
      <c r="G153" s="236"/>
      <c r="H153" s="236"/>
      <c r="I153" s="236"/>
    </row>
    <row r="154" spans="2:15" ht="15.75" customHeight="1">
      <c r="B154" s="129" t="s">
        <v>486</v>
      </c>
      <c r="C154" s="130" t="s">
        <v>145</v>
      </c>
      <c r="D154" s="130" t="s">
        <v>146</v>
      </c>
      <c r="E154" s="130" t="s">
        <v>147</v>
      </c>
      <c r="F154" s="130" t="s">
        <v>148</v>
      </c>
      <c r="G154" s="130" t="s">
        <v>149</v>
      </c>
      <c r="H154" s="130" t="s">
        <v>150</v>
      </c>
      <c r="I154" s="130" t="s">
        <v>151</v>
      </c>
    </row>
    <row r="155" spans="2:15" ht="15.75" customHeight="1">
      <c r="B155" s="78" t="str">
        <f t="shared" ref="B155:B161" si="22">B140</f>
        <v>Faclitiy 1 - Cleaning &amp; Grading</v>
      </c>
      <c r="C155" s="80">
        <f>'6.Cons Profit &amp; Loss'!B8*(1-$M$126)</f>
        <v>1709360.3264062498</v>
      </c>
      <c r="D155" s="80">
        <f>'6.Cons Profit &amp; Loss'!C8*(1-$M$126)</f>
        <v>2019422.8668164066</v>
      </c>
      <c r="E155" s="80">
        <f>'6.Cons Profit &amp; Loss'!D8*(1-$M$126)</f>
        <v>2261753.610834375</v>
      </c>
      <c r="F155" s="80">
        <f>'6.Cons Profit &amp; Loss'!E8*(1-$M$126)</f>
        <v>2523268.8720870996</v>
      </c>
      <c r="G155" s="80">
        <f>'6.Cons Profit &amp; Loss'!F8*(1-$M$126)</f>
        <v>2805281.2754380112</v>
      </c>
      <c r="H155" s="80">
        <f>'6.Cons Profit &amp; Loss'!G8*(1-$M$126)</f>
        <v>3109186.7469437951</v>
      </c>
      <c r="I155" s="80">
        <f>'6.Cons Profit &amp; Loss'!H8*(1-$M$126)</f>
        <v>3436469.5624115635</v>
      </c>
    </row>
    <row r="156" spans="2:15" ht="15.75" customHeight="1">
      <c r="B156" s="78" t="str">
        <f t="shared" si="22"/>
        <v>Faclitiy 2 - Processing Unit Paddy &amp; Rice</v>
      </c>
      <c r="C156" s="80">
        <f>'6.Cons Profit &amp; Loss'!B9*(1-$M$126)</f>
        <v>87099467.65734373</v>
      </c>
      <c r="D156" s="80">
        <f>'6.Cons Profit &amp; Loss'!C9*(1-$M$126)</f>
        <v>96135472.818492204</v>
      </c>
      <c r="E156" s="80">
        <f>'6.Cons Profit &amp; Loss'!D9*(1-$M$126)</f>
        <v>101818722.58988553</v>
      </c>
      <c r="F156" s="80">
        <f>'6.Cons Profit &amp; Loss'!E9*(1-$M$126)</f>
        <v>107829958.65637201</v>
      </c>
      <c r="G156" s="80">
        <f>'6.Cons Profit &amp; Loss'!F9*(1-$M$126)</f>
        <v>114187771.52303241</v>
      </c>
      <c r="H156" s="80">
        <f>'6.Cons Profit &amp; Loss'!G9*(1-$M$126)</f>
        <v>120911790.77971791</v>
      </c>
      <c r="I156" s="80">
        <f>'6.Cons Profit &amp; Loss'!H9*(1-$M$126)</f>
        <v>128022742.5332644</v>
      </c>
    </row>
    <row r="157" spans="2:15" ht="15.75" customHeight="1">
      <c r="B157" s="78" t="str">
        <f t="shared" si="22"/>
        <v>Faclitiy 3 - Warehouse</v>
      </c>
      <c r="C157" s="80">
        <f>'6.Cons Profit &amp; Loss'!B10*(1-$M$126)</f>
        <v>4560000</v>
      </c>
      <c r="D157" s="80">
        <f>'6.Cons Profit &amp; Loss'!C10*(1-$M$126)</f>
        <v>4893450.0000000009</v>
      </c>
      <c r="E157" s="80">
        <f>'6.Cons Profit &amp; Loss'!D10*(1-$M$126)</f>
        <v>5232600.0000000009</v>
      </c>
      <c r="F157" s="80">
        <f>'6.Cons Profit &amp; Loss'!E10*(1-$M$126)</f>
        <v>5577450.0000000019</v>
      </c>
      <c r="G157" s="80">
        <f>'6.Cons Profit &amp; Loss'!F10*(1-$M$126)</f>
        <v>5928000.0000000019</v>
      </c>
      <c r="H157" s="80">
        <f>'6.Cons Profit &amp; Loss'!G10*(1-$M$126)</f>
        <v>5985000.0000000019</v>
      </c>
      <c r="I157" s="80">
        <f>'6.Cons Profit &amp; Loss'!H10*(1-$M$126)</f>
        <v>6042000.0000000019</v>
      </c>
    </row>
    <row r="158" spans="2:15" ht="15.75" customHeight="1">
      <c r="B158" s="78" t="str">
        <f t="shared" si="22"/>
        <v xml:space="preserve">Faclitiy 4 - Custom Hiring </v>
      </c>
      <c r="C158" s="80">
        <f>'6.Cons Profit &amp; Loss'!B11*(1-$M$126)</f>
        <v>2004975</v>
      </c>
      <c r="D158" s="80">
        <f>'6.Cons Profit &amp; Loss'!C11*(1-$M$126)</f>
        <v>2045074.5</v>
      </c>
      <c r="E158" s="80">
        <f>'6.Cons Profit &amp; Loss'!D11*(1-$M$126)</f>
        <v>2065124.25</v>
      </c>
      <c r="F158" s="80">
        <f>'6.Cons Profit &amp; Loss'!E11*(1-$M$126)</f>
        <v>2209682.9475000002</v>
      </c>
      <c r="G158" s="80">
        <f>'6.Cons Profit &amp; Loss'!F11*(1-$M$126)</f>
        <v>2386457.5833000001</v>
      </c>
      <c r="H158" s="80">
        <f>'6.Cons Profit &amp; Loss'!G11*(1-$M$126)</f>
        <v>2601238.7657969999</v>
      </c>
      <c r="I158" s="80">
        <f>'6.Cons Profit &amp; Loss'!H11*(1-$M$126)</f>
        <v>2913387.4176926399</v>
      </c>
    </row>
    <row r="159" spans="2:15" ht="15.75" customHeight="1">
      <c r="B159" s="78" t="str">
        <f t="shared" si="22"/>
        <v>Faclitiy 5 - Agri Input Centre</v>
      </c>
      <c r="C159" s="80">
        <f>'6.Cons Profit &amp; Loss'!B12*(1-$M$126)</f>
        <v>0</v>
      </c>
      <c r="D159" s="80">
        <f>'6.Cons Profit &amp; Loss'!C12*(1-$M$126)</f>
        <v>0</v>
      </c>
      <c r="E159" s="80">
        <f>'6.Cons Profit &amp; Loss'!D12*(1-$M$126)</f>
        <v>0</v>
      </c>
      <c r="F159" s="80">
        <f>'6.Cons Profit &amp; Loss'!E12*(1-$M$126)</f>
        <v>0</v>
      </c>
      <c r="G159" s="80">
        <f>'6.Cons Profit &amp; Loss'!F12*(1-$M$126)</f>
        <v>0</v>
      </c>
      <c r="H159" s="80">
        <f>'6.Cons Profit &amp; Loss'!G12*(1-$M$126)</f>
        <v>0</v>
      </c>
      <c r="I159" s="80">
        <f>'6.Cons Profit &amp; Loss'!H12*(1-$M$126)</f>
        <v>0</v>
      </c>
    </row>
    <row r="160" spans="2:15" ht="15.75" customHeight="1">
      <c r="B160" s="78" t="str">
        <f t="shared" si="22"/>
        <v>Facility 6 - Processing Unit - Horti Commodity</v>
      </c>
      <c r="C160" s="80">
        <f>'6.Cons Profit &amp; Loss'!B13*(1-$M$126)</f>
        <v>0</v>
      </c>
      <c r="D160" s="80">
        <f>'6.Cons Profit &amp; Loss'!C13*(1-$M$126)</f>
        <v>0</v>
      </c>
      <c r="E160" s="80">
        <f>'6.Cons Profit &amp; Loss'!D13*(1-$M$126)</f>
        <v>0</v>
      </c>
      <c r="F160" s="80">
        <f>'6.Cons Profit &amp; Loss'!E13*(1-$M$126)</f>
        <v>0</v>
      </c>
      <c r="G160" s="80">
        <f>'6.Cons Profit &amp; Loss'!F13*(1-$M$126)</f>
        <v>0</v>
      </c>
      <c r="H160" s="80">
        <f>'6.Cons Profit &amp; Loss'!G13*(1-$M$126)</f>
        <v>0</v>
      </c>
      <c r="I160" s="80">
        <f>'6.Cons Profit &amp; Loss'!H13*(1-$M$126)</f>
        <v>0</v>
      </c>
    </row>
    <row r="161" spans="2:9" ht="15.75" customHeight="1">
      <c r="B161" s="78">
        <f t="shared" si="22"/>
        <v>0</v>
      </c>
      <c r="C161" s="80">
        <f>'6.Cons Profit &amp; Loss'!B14*(1-$M$126)</f>
        <v>0</v>
      </c>
      <c r="D161" s="80">
        <f>'6.Cons Profit &amp; Loss'!C14*(1-$M$126)</f>
        <v>0</v>
      </c>
      <c r="E161" s="80">
        <f>'6.Cons Profit &amp; Loss'!D14*(1-$M$126)</f>
        <v>0</v>
      </c>
      <c r="F161" s="80">
        <f>'6.Cons Profit &amp; Loss'!E14*(1-$M$126)</f>
        <v>0</v>
      </c>
      <c r="G161" s="80">
        <f>'6.Cons Profit &amp; Loss'!F14*(1-$M$126)</f>
        <v>0</v>
      </c>
      <c r="H161" s="80">
        <f>'6.Cons Profit &amp; Loss'!G14*(1-$M$126)</f>
        <v>0</v>
      </c>
      <c r="I161" s="80">
        <f>'6.Cons Profit &amp; Loss'!H14*(1-$M$126)</f>
        <v>0</v>
      </c>
    </row>
    <row r="162" spans="2:9" ht="15.75" customHeight="1">
      <c r="B162" s="78" t="s">
        <v>480</v>
      </c>
      <c r="C162" s="80">
        <f t="shared" ref="C162:I162" si="23">SUM(C155:C161)</f>
        <v>95373802.983749986</v>
      </c>
      <c r="D162" s="80">
        <f t="shared" si="23"/>
        <v>105093420.18530861</v>
      </c>
      <c r="E162" s="80">
        <f t="shared" si="23"/>
        <v>111378200.45071991</v>
      </c>
      <c r="F162" s="80">
        <f t="shared" si="23"/>
        <v>118140360.47595912</v>
      </c>
      <c r="G162" s="80">
        <f t="shared" si="23"/>
        <v>125307510.38177042</v>
      </c>
      <c r="H162" s="80">
        <f t="shared" si="23"/>
        <v>132607216.29245871</v>
      </c>
      <c r="I162" s="80">
        <f t="shared" si="23"/>
        <v>140414599.51336861</v>
      </c>
    </row>
    <row r="163" spans="2:9" ht="15.75" customHeight="1">
      <c r="B163" s="78" t="s">
        <v>481</v>
      </c>
      <c r="C163" s="80"/>
      <c r="D163" s="80"/>
      <c r="E163" s="80"/>
      <c r="F163" s="80"/>
      <c r="G163" s="80"/>
      <c r="H163" s="80"/>
      <c r="I163" s="80"/>
    </row>
    <row r="164" spans="2:9" ht="15.75" customHeight="1">
      <c r="B164" s="78" t="s">
        <v>482</v>
      </c>
      <c r="C164" s="80">
        <f>'6.Cons Profit &amp; Loss'!B36</f>
        <v>2939000</v>
      </c>
      <c r="D164" s="80">
        <f>'6.Cons Profit &amp; Loss'!C36</f>
        <v>3080190</v>
      </c>
      <c r="E164" s="80">
        <f>'6.Cons Profit &amp; Loss'!D36</f>
        <v>3255986.25</v>
      </c>
      <c r="F164" s="80">
        <f>'6.Cons Profit &amp; Loss'!E36</f>
        <v>3510139.2750000004</v>
      </c>
      <c r="G164" s="80">
        <f>'6.Cons Profit &amp; Loss'!F36</f>
        <v>3830761.0563750006</v>
      </c>
      <c r="H164" s="80">
        <f>'6.Cons Profit &amp; Loss'!G36</f>
        <v>4235845.5105112502</v>
      </c>
      <c r="I164" s="80">
        <f>'6.Cons Profit &amp; Loss'!H36</f>
        <v>4764124.7652843194</v>
      </c>
    </row>
    <row r="165" spans="2:9" ht="15.75" customHeight="1">
      <c r="B165" s="78" t="s">
        <v>346</v>
      </c>
      <c r="C165" s="80">
        <f>'6.Cons Profit &amp; Loss'!B25*(1-$M$126)</f>
        <v>87851319.983174995</v>
      </c>
      <c r="D165" s="80">
        <f>'6.Cons Profit &amp; Loss'!C25*(1-$M$126)</f>
        <v>95777062.935928136</v>
      </c>
      <c r="E165" s="80">
        <f>'6.Cons Profit &amp; Loss'!D25*(1-$M$126)</f>
        <v>100755525.15954675</v>
      </c>
      <c r="F165" s="80">
        <f>'6.Cons Profit &amp; Loss'!E25*(1-$M$126)</f>
        <v>106157428.76806618</v>
      </c>
      <c r="G165" s="80">
        <f>'6.Cons Profit &amp; Loss'!F25*(1-$M$126)</f>
        <v>111865161.06401366</v>
      </c>
      <c r="H165" s="80">
        <f>'6.Cons Profit &amp; Loss'!G25*(1-$M$126)</f>
        <v>117898010.1933585</v>
      </c>
      <c r="I165" s="80">
        <f>'6.Cons Profit &amp; Loss'!H25*(1-$M$126)</f>
        <v>124316373.8392738</v>
      </c>
    </row>
    <row r="166" spans="2:9" ht="15.75" customHeight="1">
      <c r="B166" s="78" t="s">
        <v>483</v>
      </c>
      <c r="C166" s="80">
        <f t="shared" ref="C166:I166" si="24">SUM(C164:C165)</f>
        <v>90790319.983174995</v>
      </c>
      <c r="D166" s="80">
        <f t="shared" si="24"/>
        <v>98857252.935928136</v>
      </c>
      <c r="E166" s="80">
        <f t="shared" si="24"/>
        <v>104011511.40954675</v>
      </c>
      <c r="F166" s="80">
        <f t="shared" si="24"/>
        <v>109667568.04306619</v>
      </c>
      <c r="G166" s="80">
        <f t="shared" si="24"/>
        <v>115695922.12038866</v>
      </c>
      <c r="H166" s="80">
        <f t="shared" si="24"/>
        <v>122133855.70386975</v>
      </c>
      <c r="I166" s="80">
        <f t="shared" si="24"/>
        <v>129080498.60455811</v>
      </c>
    </row>
    <row r="167" spans="2:9" ht="15.75" customHeight="1">
      <c r="B167" s="81" t="s">
        <v>484</v>
      </c>
      <c r="C167" s="82">
        <f t="shared" ref="C167:I167" si="25">+C162-C166</f>
        <v>4583483.0005749911</v>
      </c>
      <c r="D167" s="82">
        <f t="shared" si="25"/>
        <v>6236167.2493804693</v>
      </c>
      <c r="E167" s="82">
        <f t="shared" si="25"/>
        <v>7366689.0411731601</v>
      </c>
      <c r="F167" s="82">
        <f t="shared" si="25"/>
        <v>8472792.4328929335</v>
      </c>
      <c r="G167" s="82">
        <f t="shared" si="25"/>
        <v>9611588.2613817602</v>
      </c>
      <c r="H167" s="82">
        <f t="shared" si="25"/>
        <v>10473360.588588968</v>
      </c>
      <c r="I167" s="82">
        <f t="shared" si="25"/>
        <v>11334100.908810496</v>
      </c>
    </row>
    <row r="168" spans="2:9" ht="15.75" customHeight="1">
      <c r="C168" s="236"/>
      <c r="D168" s="236"/>
      <c r="E168" s="236"/>
      <c r="F168" s="236"/>
      <c r="G168" s="236"/>
      <c r="H168" s="236"/>
      <c r="I168" s="236"/>
    </row>
    <row r="169" spans="2:9" ht="15.75" customHeight="1">
      <c r="B169" s="129" t="s">
        <v>487</v>
      </c>
      <c r="C169" s="130" t="s">
        <v>145</v>
      </c>
      <c r="D169" s="130" t="s">
        <v>146</v>
      </c>
      <c r="E169" s="130" t="s">
        <v>147</v>
      </c>
      <c r="F169" s="130" t="s">
        <v>148</v>
      </c>
      <c r="G169" s="130" t="s">
        <v>149</v>
      </c>
      <c r="H169" s="130" t="s">
        <v>150</v>
      </c>
      <c r="I169" s="130" t="s">
        <v>151</v>
      </c>
    </row>
    <row r="170" spans="2:9" ht="15.75" customHeight="1">
      <c r="B170" s="78" t="str">
        <f t="shared" ref="B170:B176" si="26">B155</f>
        <v>Faclitiy 1 - Cleaning &amp; Grading</v>
      </c>
      <c r="C170" s="237">
        <f>'6.Cons Profit &amp; Loss'!B8</f>
        <v>1799326.6593749998</v>
      </c>
      <c r="D170" s="237">
        <f>'6.Cons Profit &amp; Loss'!C8</f>
        <v>2125708.2808593754</v>
      </c>
      <c r="E170" s="237">
        <f>'6.Cons Profit &amp; Loss'!D8</f>
        <v>2380793.2745625</v>
      </c>
      <c r="F170" s="237">
        <f>'6.Cons Profit &amp; Loss'!E8</f>
        <v>2656072.496933789</v>
      </c>
      <c r="G170" s="237">
        <f>'6.Cons Profit &amp; Loss'!F8</f>
        <v>2952927.6583558014</v>
      </c>
      <c r="H170" s="237">
        <f>'6.Cons Profit &amp; Loss'!G8</f>
        <v>3272828.1546776793</v>
      </c>
      <c r="I170" s="237">
        <f>'6.Cons Profit &amp; Loss'!H8</f>
        <v>3617336.3814858566</v>
      </c>
    </row>
    <row r="171" spans="2:9" ht="15.75" customHeight="1">
      <c r="B171" s="78" t="str">
        <f t="shared" si="26"/>
        <v>Faclitiy 2 - Processing Unit Paddy &amp; Rice</v>
      </c>
      <c r="C171" s="237">
        <f>'6.Cons Profit &amp; Loss'!B9</f>
        <v>91683650.165624991</v>
      </c>
      <c r="D171" s="237">
        <f>'6.Cons Profit &amp; Loss'!C9</f>
        <v>101195234.54578127</v>
      </c>
      <c r="E171" s="237">
        <f>'6.Cons Profit &amp; Loss'!D9</f>
        <v>107177602.72619531</v>
      </c>
      <c r="F171" s="237">
        <f>'6.Cons Profit &amp; Loss'!E9</f>
        <v>113505219.63828634</v>
      </c>
      <c r="G171" s="237">
        <f>'6.Cons Profit &amp; Loss'!F9</f>
        <v>120197654.23477097</v>
      </c>
      <c r="H171" s="237">
        <f>'6.Cons Profit &amp; Loss'!G9</f>
        <v>127275569.24180833</v>
      </c>
      <c r="I171" s="237">
        <f>'6.Cons Profit &amp; Loss'!H9</f>
        <v>134760781.61396253</v>
      </c>
    </row>
    <row r="172" spans="2:9" ht="15.75" customHeight="1">
      <c r="B172" s="78" t="str">
        <f t="shared" si="26"/>
        <v>Faclitiy 3 - Warehouse</v>
      </c>
      <c r="C172" s="237">
        <f>'6.Cons Profit &amp; Loss'!B10</f>
        <v>4800000</v>
      </c>
      <c r="D172" s="237">
        <f>'6.Cons Profit &amp; Loss'!C10</f>
        <v>5151000.0000000009</v>
      </c>
      <c r="E172" s="237">
        <f>'6.Cons Profit &amp; Loss'!D10</f>
        <v>5508000.0000000009</v>
      </c>
      <c r="F172" s="237">
        <f>'6.Cons Profit &amp; Loss'!E10</f>
        <v>5871000.0000000019</v>
      </c>
      <c r="G172" s="237">
        <f>'6.Cons Profit &amp; Loss'!F10</f>
        <v>6240000.0000000019</v>
      </c>
      <c r="H172" s="237">
        <f>'6.Cons Profit &amp; Loss'!G10</f>
        <v>6300000.0000000019</v>
      </c>
      <c r="I172" s="237">
        <f>'6.Cons Profit &amp; Loss'!H10</f>
        <v>6360000.0000000019</v>
      </c>
    </row>
    <row r="173" spans="2:9" ht="15.75" customHeight="1">
      <c r="B173" s="78" t="str">
        <f t="shared" si="26"/>
        <v xml:space="preserve">Faclitiy 4 - Custom Hiring </v>
      </c>
      <c r="C173" s="237">
        <f>'6.Cons Profit &amp; Loss'!B11</f>
        <v>2110500</v>
      </c>
      <c r="D173" s="237">
        <f>'6.Cons Profit &amp; Loss'!C11</f>
        <v>2152710</v>
      </c>
      <c r="E173" s="237">
        <f>'6.Cons Profit &amp; Loss'!D11</f>
        <v>2173815</v>
      </c>
      <c r="F173" s="237">
        <f>'6.Cons Profit &amp; Loss'!E11</f>
        <v>2325982.0500000003</v>
      </c>
      <c r="G173" s="237">
        <f>'6.Cons Profit &amp; Loss'!F11</f>
        <v>2512060.6140000001</v>
      </c>
      <c r="H173" s="237">
        <f>'6.Cons Profit &amp; Loss'!G11</f>
        <v>2738146.0692600003</v>
      </c>
      <c r="I173" s="237">
        <f>'6.Cons Profit &amp; Loss'!H11</f>
        <v>3066723.5975711998</v>
      </c>
    </row>
    <row r="174" spans="2:9" ht="15.75" customHeight="1">
      <c r="B174" s="78" t="str">
        <f t="shared" si="26"/>
        <v>Faclitiy 5 - Agri Input Centre</v>
      </c>
      <c r="C174" s="237">
        <f>'6.Cons Profit &amp; Loss'!B12</f>
        <v>0</v>
      </c>
      <c r="D174" s="237">
        <f>'6.Cons Profit &amp; Loss'!C12</f>
        <v>0</v>
      </c>
      <c r="E174" s="237">
        <f>'6.Cons Profit &amp; Loss'!D12</f>
        <v>0</v>
      </c>
      <c r="F174" s="237">
        <f>'6.Cons Profit &amp; Loss'!E12</f>
        <v>0</v>
      </c>
      <c r="G174" s="237">
        <f>'6.Cons Profit &amp; Loss'!F12</f>
        <v>0</v>
      </c>
      <c r="H174" s="237">
        <f>'6.Cons Profit &amp; Loss'!G12</f>
        <v>0</v>
      </c>
      <c r="I174" s="237">
        <f>'6.Cons Profit &amp; Loss'!H12</f>
        <v>0</v>
      </c>
    </row>
    <row r="175" spans="2:9" ht="15.75" customHeight="1">
      <c r="B175" s="78" t="str">
        <f t="shared" si="26"/>
        <v>Facility 6 - Processing Unit - Horti Commodity</v>
      </c>
      <c r="C175" s="237">
        <f>'6.Cons Profit &amp; Loss'!B13</f>
        <v>0</v>
      </c>
      <c r="D175" s="237">
        <f>'6.Cons Profit &amp; Loss'!C13</f>
        <v>0</v>
      </c>
      <c r="E175" s="237">
        <f>'6.Cons Profit &amp; Loss'!D13</f>
        <v>0</v>
      </c>
      <c r="F175" s="237">
        <f>'6.Cons Profit &amp; Loss'!E13</f>
        <v>0</v>
      </c>
      <c r="G175" s="237">
        <f>'6.Cons Profit &amp; Loss'!F13</f>
        <v>0</v>
      </c>
      <c r="H175" s="237">
        <f>'6.Cons Profit &amp; Loss'!G13</f>
        <v>0</v>
      </c>
      <c r="I175" s="237">
        <f>'6.Cons Profit &amp; Loss'!H13</f>
        <v>0</v>
      </c>
    </row>
    <row r="176" spans="2:9" ht="15.75" customHeight="1">
      <c r="B176" s="78">
        <f t="shared" si="26"/>
        <v>0</v>
      </c>
      <c r="C176" s="237">
        <f>'6.Cons Profit &amp; Loss'!B14</f>
        <v>0</v>
      </c>
      <c r="D176" s="237">
        <f>'6.Cons Profit &amp; Loss'!C14</f>
        <v>0</v>
      </c>
      <c r="E176" s="237">
        <f>'6.Cons Profit &amp; Loss'!D14</f>
        <v>0</v>
      </c>
      <c r="F176" s="237">
        <f>'6.Cons Profit &amp; Loss'!E14</f>
        <v>0</v>
      </c>
      <c r="G176" s="237">
        <f>'6.Cons Profit &amp; Loss'!F14</f>
        <v>0</v>
      </c>
      <c r="H176" s="237">
        <f>'6.Cons Profit &amp; Loss'!G14</f>
        <v>0</v>
      </c>
      <c r="I176" s="237">
        <f>'6.Cons Profit &amp; Loss'!H14</f>
        <v>0</v>
      </c>
    </row>
    <row r="177" spans="2:13" ht="15.75" customHeight="1">
      <c r="B177" s="78" t="s">
        <v>480</v>
      </c>
      <c r="C177" s="237">
        <f t="shared" ref="C177:I177" si="27">SUM(C170:C176)</f>
        <v>100393476.82499999</v>
      </c>
      <c r="D177" s="237">
        <f t="shared" si="27"/>
        <v>110624652.82664065</v>
      </c>
      <c r="E177" s="237">
        <f t="shared" si="27"/>
        <v>117240211.0007578</v>
      </c>
      <c r="F177" s="237">
        <f t="shared" si="27"/>
        <v>124358274.18522012</v>
      </c>
      <c r="G177" s="237">
        <f t="shared" si="27"/>
        <v>131902642.50712678</v>
      </c>
      <c r="H177" s="237">
        <f t="shared" si="27"/>
        <v>139586543.46574602</v>
      </c>
      <c r="I177" s="237">
        <f t="shared" si="27"/>
        <v>147804841.59301957</v>
      </c>
    </row>
    <row r="178" spans="2:13" ht="15.75" customHeight="1">
      <c r="B178" s="78" t="s">
        <v>481</v>
      </c>
      <c r="C178" s="237"/>
      <c r="D178" s="237"/>
      <c r="E178" s="237"/>
      <c r="F178" s="237"/>
      <c r="G178" s="237"/>
      <c r="H178" s="237"/>
      <c r="I178" s="237"/>
    </row>
    <row r="179" spans="2:13" ht="15.75" customHeight="1">
      <c r="B179" s="78" t="s">
        <v>482</v>
      </c>
      <c r="C179" s="237">
        <f>'6.Cons Profit &amp; Loss'!B36</f>
        <v>2939000</v>
      </c>
      <c r="D179" s="237">
        <f>'6.Cons Profit &amp; Loss'!C36</f>
        <v>3080190</v>
      </c>
      <c r="E179" s="237">
        <f>'6.Cons Profit &amp; Loss'!D36</f>
        <v>3255986.25</v>
      </c>
      <c r="F179" s="237">
        <f>'6.Cons Profit &amp; Loss'!E36</f>
        <v>3510139.2750000004</v>
      </c>
      <c r="G179" s="237">
        <f>'6.Cons Profit &amp; Loss'!F36</f>
        <v>3830761.0563750006</v>
      </c>
      <c r="H179" s="237">
        <f>'6.Cons Profit &amp; Loss'!G36</f>
        <v>4235845.5105112502</v>
      </c>
      <c r="I179" s="237">
        <f>'6.Cons Profit &amp; Loss'!H36</f>
        <v>4764124.7652843194</v>
      </c>
    </row>
    <row r="180" spans="2:13" ht="15.75" customHeight="1">
      <c r="B180" s="78" t="s">
        <v>346</v>
      </c>
      <c r="C180" s="237">
        <f>'6.Cons Profit &amp; Loss'!B25*(1-$M$127)</f>
        <v>87851319.983174995</v>
      </c>
      <c r="D180" s="237">
        <f>'6.Cons Profit &amp; Loss'!C25*(1-$M$127)</f>
        <v>95777062.935928136</v>
      </c>
      <c r="E180" s="237">
        <f>'6.Cons Profit &amp; Loss'!D25*(1-$M$127)</f>
        <v>100755525.15954675</v>
      </c>
      <c r="F180" s="237">
        <f>'6.Cons Profit &amp; Loss'!E25*(1-$M$127)</f>
        <v>106157428.76806618</v>
      </c>
      <c r="G180" s="237">
        <f>'6.Cons Profit &amp; Loss'!F25*(1-$M$127)</f>
        <v>111865161.06401366</v>
      </c>
      <c r="H180" s="237">
        <f>'6.Cons Profit &amp; Loss'!G25*(1-$M$127)</f>
        <v>117898010.1933585</v>
      </c>
      <c r="I180" s="237">
        <f>'6.Cons Profit &amp; Loss'!H25*(1-$M$127)</f>
        <v>124316373.8392738</v>
      </c>
    </row>
    <row r="181" spans="2:13" ht="15.75" customHeight="1">
      <c r="B181" s="78" t="s">
        <v>483</v>
      </c>
      <c r="C181" s="237">
        <f t="shared" ref="C181:I181" si="28">SUM(C179:C180)</f>
        <v>90790319.983174995</v>
      </c>
      <c r="D181" s="237">
        <f t="shared" si="28"/>
        <v>98857252.935928136</v>
      </c>
      <c r="E181" s="237">
        <f t="shared" si="28"/>
        <v>104011511.40954675</v>
      </c>
      <c r="F181" s="237">
        <f t="shared" si="28"/>
        <v>109667568.04306619</v>
      </c>
      <c r="G181" s="237">
        <f t="shared" si="28"/>
        <v>115695922.12038866</v>
      </c>
      <c r="H181" s="237">
        <f t="shared" si="28"/>
        <v>122133855.70386975</v>
      </c>
      <c r="I181" s="237">
        <f t="shared" si="28"/>
        <v>129080498.60455811</v>
      </c>
    </row>
    <row r="182" spans="2:13" ht="15.75" customHeight="1">
      <c r="B182" s="81" t="s">
        <v>484</v>
      </c>
      <c r="C182" s="241">
        <f t="shared" ref="C182:I182" si="29">+C177-C181</f>
        <v>9603156.8418249935</v>
      </c>
      <c r="D182" s="241">
        <f t="shared" si="29"/>
        <v>11767399.890712515</v>
      </c>
      <c r="E182" s="241">
        <f t="shared" si="29"/>
        <v>13228699.591211051</v>
      </c>
      <c r="F182" s="241">
        <f t="shared" si="29"/>
        <v>14690706.142153934</v>
      </c>
      <c r="G182" s="241">
        <f t="shared" si="29"/>
        <v>16206720.386738122</v>
      </c>
      <c r="H182" s="241">
        <f t="shared" si="29"/>
        <v>17452687.76187627</v>
      </c>
      <c r="I182" s="241">
        <f t="shared" si="29"/>
        <v>18724342.988461465</v>
      </c>
    </row>
    <row r="183" spans="2:13" ht="15.75" customHeight="1"/>
    <row r="184" spans="2:13" ht="40.5" customHeight="1">
      <c r="B184" s="373" t="s">
        <v>488</v>
      </c>
      <c r="C184" s="324"/>
      <c r="D184" s="324"/>
      <c r="E184" s="324"/>
      <c r="F184" s="324"/>
      <c r="G184" s="324"/>
      <c r="H184" s="324"/>
      <c r="I184" s="324"/>
      <c r="J184" s="242"/>
      <c r="K184" s="242"/>
      <c r="L184" s="242"/>
      <c r="M184" s="242"/>
    </row>
  </sheetData>
  <mergeCells count="20">
    <mergeCell ref="B103:J103"/>
    <mergeCell ref="B90:J90"/>
    <mergeCell ref="B5:J5"/>
    <mergeCell ref="B26:I26"/>
    <mergeCell ref="B54:I54"/>
    <mergeCell ref="B51:J51"/>
    <mergeCell ref="B24:J24"/>
    <mergeCell ref="D20:J20"/>
    <mergeCell ref="D22:J22"/>
    <mergeCell ref="B75:J75"/>
    <mergeCell ref="B88:I88"/>
    <mergeCell ref="B76:I76"/>
    <mergeCell ref="C82:I82"/>
    <mergeCell ref="C83:I83"/>
    <mergeCell ref="C85:I85"/>
    <mergeCell ref="B184:I184"/>
    <mergeCell ref="K123:R123"/>
    <mergeCell ref="B105:I105"/>
    <mergeCell ref="B123:I123"/>
    <mergeCell ref="B121:I121"/>
  </mergeCells>
  <hyperlinks>
    <hyperlink ref="B24" r:id="rId1"/>
  </hyperlinks>
  <pageMargins left="0.7" right="0.7" top="0.75" bottom="0.75" header="0" footer="0"/>
  <pageSetup paperSize="9" scale="47" orientation="portrait" r:id="rId2"/>
  <rowBreaks count="1" manualBreakCount="1">
    <brk id="88" max="9" man="1"/>
  </rowBreaks>
  <colBreaks count="1" manualBreakCount="1">
    <brk id="10" max="1048575" man="1"/>
  </colBreaks>
</worksheet>
</file>

<file path=xl/worksheets/sheet11.xml><?xml version="1.0" encoding="utf-8"?>
<worksheet xmlns="http://schemas.openxmlformats.org/spreadsheetml/2006/main" xmlns:r="http://schemas.openxmlformats.org/officeDocument/2006/relationships">
  <dimension ref="A1:Z119"/>
  <sheetViews>
    <sheetView view="pageBreakPreview" topLeftCell="A60" zoomScale="96" zoomScaleSheetLayoutView="96" workbookViewId="0">
      <selection activeCell="E60" sqref="E60"/>
    </sheetView>
  </sheetViews>
  <sheetFormatPr defaultColWidth="14.42578125" defaultRowHeight="15" customHeight="1"/>
  <cols>
    <col min="1" max="1" width="46.42578125" customWidth="1"/>
    <col min="2" max="2" width="23.28515625" customWidth="1"/>
    <col min="3" max="3" width="11.5703125" customWidth="1"/>
    <col min="4" max="4" width="13.7109375" customWidth="1"/>
    <col min="5" max="6" width="11.140625" customWidth="1"/>
    <col min="7" max="8" width="12.7109375" customWidth="1"/>
    <col min="9" max="9" width="11.42578125" customWidth="1"/>
    <col min="10" max="10" width="9.140625" customWidth="1"/>
    <col min="11" max="26" width="8.7109375" customWidth="1"/>
  </cols>
  <sheetData>
    <row r="1" spans="1:26" ht="18.75">
      <c r="A1" s="340" t="s">
        <v>489</v>
      </c>
      <c r="B1" s="324"/>
      <c r="C1" s="324"/>
      <c r="D1" s="324"/>
      <c r="E1" s="324"/>
      <c r="F1" s="324"/>
      <c r="G1" s="324"/>
      <c r="H1" s="324"/>
    </row>
    <row r="2" spans="1:26">
      <c r="B2" s="158"/>
    </row>
    <row r="3" spans="1:26" ht="18.75">
      <c r="A3" s="387" t="s">
        <v>490</v>
      </c>
      <c r="B3" s="326"/>
    </row>
    <row r="4" spans="1:26">
      <c r="A4" s="243" t="s">
        <v>142</v>
      </c>
      <c r="B4" s="244" t="s">
        <v>153</v>
      </c>
      <c r="C4" s="245"/>
      <c r="D4" s="245"/>
      <c r="E4" s="245"/>
      <c r="F4" s="245"/>
      <c r="G4" s="245"/>
      <c r="H4" s="245"/>
    </row>
    <row r="5" spans="1:26">
      <c r="A5" s="139" t="s">
        <v>491</v>
      </c>
      <c r="B5" s="246">
        <v>340</v>
      </c>
      <c r="D5" s="247"/>
      <c r="E5" s="247"/>
      <c r="F5" s="247"/>
      <c r="G5" s="247"/>
      <c r="H5" s="247"/>
    </row>
    <row r="6" spans="1:26">
      <c r="A6" s="139" t="s">
        <v>492</v>
      </c>
      <c r="B6" s="246">
        <v>1400</v>
      </c>
      <c r="D6" s="247"/>
      <c r="E6" s="247"/>
      <c r="F6" s="247"/>
      <c r="G6" s="247"/>
      <c r="H6" s="247"/>
    </row>
    <row r="7" spans="1:26">
      <c r="A7" s="248" t="s">
        <v>82</v>
      </c>
      <c r="B7" s="248">
        <f>B5+B6</f>
        <v>1740</v>
      </c>
      <c r="C7" s="163"/>
      <c r="D7" s="249"/>
      <c r="E7" s="249"/>
      <c r="F7" s="249"/>
      <c r="G7" s="249"/>
      <c r="H7" s="249"/>
    </row>
    <row r="8" spans="1:26">
      <c r="A8" s="248" t="s">
        <v>493</v>
      </c>
      <c r="B8" s="250">
        <v>2.5</v>
      </c>
      <c r="C8" s="163"/>
      <c r="D8" s="163"/>
      <c r="E8" s="163"/>
      <c r="F8" s="163"/>
      <c r="G8" s="163"/>
      <c r="H8" s="163"/>
    </row>
    <row r="9" spans="1:26">
      <c r="A9" s="248" t="s">
        <v>494</v>
      </c>
      <c r="B9" s="248">
        <f>B7*B8</f>
        <v>4350</v>
      </c>
      <c r="C9" s="249"/>
      <c r="D9" s="249"/>
      <c r="E9" s="249"/>
      <c r="F9" s="249"/>
      <c r="G9" s="249"/>
      <c r="H9" s="249"/>
    </row>
    <row r="10" spans="1:26">
      <c r="J10" t="s">
        <v>495</v>
      </c>
      <c r="O10" t="s">
        <v>315</v>
      </c>
      <c r="U10" t="s">
        <v>15</v>
      </c>
      <c r="Y10" t="s">
        <v>496</v>
      </c>
      <c r="Z10" t="s">
        <v>497</v>
      </c>
    </row>
    <row r="11" spans="1:26" ht="18.75">
      <c r="A11" s="340" t="s">
        <v>498</v>
      </c>
      <c r="B11" s="324"/>
      <c r="C11" s="324"/>
      <c r="D11" s="324"/>
      <c r="E11" s="324"/>
      <c r="F11" s="324"/>
      <c r="G11" s="324"/>
      <c r="H11" s="324"/>
      <c r="I11" s="163"/>
      <c r="J11" s="163"/>
      <c r="K11" s="163"/>
      <c r="L11" s="163"/>
      <c r="M11" s="163"/>
      <c r="N11" s="163"/>
      <c r="O11" s="163"/>
      <c r="P11" s="163"/>
    </row>
    <row r="12" spans="1:26">
      <c r="J12" s="158">
        <v>0.65</v>
      </c>
      <c r="K12" s="251">
        <f t="shared" ref="K12:N12" si="0">J12+0.05</f>
        <v>0.70000000000000007</v>
      </c>
      <c r="L12" s="251">
        <f t="shared" si="0"/>
        <v>0.75000000000000011</v>
      </c>
      <c r="M12" s="251">
        <f t="shared" si="0"/>
        <v>0.80000000000000016</v>
      </c>
      <c r="N12" s="251">
        <f t="shared" si="0"/>
        <v>0.8500000000000002</v>
      </c>
      <c r="O12" s="158">
        <v>0.4</v>
      </c>
      <c r="P12" s="158">
        <f t="shared" ref="P12:T12" si="1">O12+0.05</f>
        <v>0.45</v>
      </c>
      <c r="Q12" s="158">
        <f t="shared" si="1"/>
        <v>0.5</v>
      </c>
      <c r="R12" s="158">
        <f t="shared" si="1"/>
        <v>0.55000000000000004</v>
      </c>
      <c r="S12" s="158">
        <f t="shared" si="1"/>
        <v>0.60000000000000009</v>
      </c>
      <c r="T12" s="158">
        <f t="shared" si="1"/>
        <v>0.65000000000000013</v>
      </c>
      <c r="U12" s="158">
        <v>0.1</v>
      </c>
      <c r="V12" s="213">
        <f t="shared" ref="V12:X12" si="2">U12+0.05</f>
        <v>0.15000000000000002</v>
      </c>
      <c r="W12" s="213">
        <f t="shared" si="2"/>
        <v>0.2</v>
      </c>
      <c r="X12" s="213">
        <f t="shared" si="2"/>
        <v>0.25</v>
      </c>
    </row>
    <row r="13" spans="1:26" s="291" customFormat="1" ht="61.5" customHeight="1">
      <c r="A13" s="289" t="s">
        <v>499</v>
      </c>
      <c r="B13" s="289" t="s">
        <v>500</v>
      </c>
      <c r="C13" s="290" t="s">
        <v>501</v>
      </c>
      <c r="D13" s="290" t="s">
        <v>502</v>
      </c>
      <c r="E13" s="290" t="s">
        <v>503</v>
      </c>
      <c r="F13" s="290" t="s">
        <v>504</v>
      </c>
      <c r="G13" s="290" t="s">
        <v>505</v>
      </c>
      <c r="H13" s="290" t="s">
        <v>506</v>
      </c>
      <c r="O13" s="292" t="s">
        <v>145</v>
      </c>
      <c r="P13" s="292" t="s">
        <v>146</v>
      </c>
      <c r="Q13" s="292" t="s">
        <v>147</v>
      </c>
      <c r="R13" s="292" t="s">
        <v>148</v>
      </c>
      <c r="S13" s="292" t="s">
        <v>149</v>
      </c>
      <c r="T13" s="292" t="s">
        <v>145</v>
      </c>
      <c r="U13" s="292" t="s">
        <v>146</v>
      </c>
      <c r="V13" s="292" t="s">
        <v>147</v>
      </c>
      <c r="W13" s="292" t="s">
        <v>148</v>
      </c>
      <c r="X13" s="292" t="s">
        <v>149</v>
      </c>
    </row>
    <row r="14" spans="1:26">
      <c r="A14" s="389" t="s">
        <v>507</v>
      </c>
      <c r="B14" s="246" t="s">
        <v>508</v>
      </c>
      <c r="C14" s="252">
        <v>0</v>
      </c>
      <c r="D14" s="139">
        <f t="shared" ref="D14:D22" si="3">$B$9*C14</f>
        <v>0</v>
      </c>
      <c r="E14" s="253">
        <v>0</v>
      </c>
      <c r="F14" s="139">
        <f t="shared" ref="F14:F22" si="4">D14*E14</f>
        <v>0</v>
      </c>
      <c r="G14" s="254">
        <v>0</v>
      </c>
      <c r="H14" s="139">
        <f>(F14-F14*G14)</f>
        <v>0</v>
      </c>
      <c r="J14">
        <f t="shared" ref="J14:N14" si="5">$D$14*J12</f>
        <v>0</v>
      </c>
      <c r="K14">
        <f t="shared" si="5"/>
        <v>0</v>
      </c>
      <c r="L14">
        <f t="shared" si="5"/>
        <v>0</v>
      </c>
      <c r="M14">
        <f t="shared" si="5"/>
        <v>0</v>
      </c>
      <c r="N14">
        <f t="shared" si="5"/>
        <v>0</v>
      </c>
    </row>
    <row r="15" spans="1:26">
      <c r="A15" s="333"/>
      <c r="B15" s="246" t="s">
        <v>509</v>
      </c>
      <c r="C15" s="252">
        <v>0</v>
      </c>
      <c r="D15" s="139">
        <f t="shared" si="3"/>
        <v>0</v>
      </c>
      <c r="E15" s="253">
        <v>0</v>
      </c>
      <c r="F15" s="139">
        <f t="shared" si="4"/>
        <v>0</v>
      </c>
      <c r="G15" s="254">
        <v>0</v>
      </c>
      <c r="H15" s="139">
        <f>(F15-F15*G15)</f>
        <v>0</v>
      </c>
    </row>
    <row r="16" spans="1:26">
      <c r="A16" s="333"/>
      <c r="B16" s="246" t="s">
        <v>510</v>
      </c>
      <c r="C16" s="252">
        <v>1</v>
      </c>
      <c r="D16" s="139">
        <f>$B$9*C16</f>
        <v>4350</v>
      </c>
      <c r="E16" s="253">
        <v>15</v>
      </c>
      <c r="F16" s="139">
        <f>D16*E16</f>
        <v>65250</v>
      </c>
      <c r="G16" s="254">
        <v>0.05</v>
      </c>
      <c r="H16" s="139">
        <f>(F16-F16*G16)</f>
        <v>61987.5</v>
      </c>
    </row>
    <row r="17" spans="1:10">
      <c r="A17" s="333"/>
      <c r="B17" s="246" t="s">
        <v>511</v>
      </c>
      <c r="C17" s="252">
        <v>0</v>
      </c>
      <c r="D17" s="139">
        <f t="shared" si="3"/>
        <v>0</v>
      </c>
      <c r="E17" s="253">
        <v>0</v>
      </c>
      <c r="F17" s="139">
        <f t="shared" si="4"/>
        <v>0</v>
      </c>
      <c r="G17" s="254">
        <v>0</v>
      </c>
      <c r="H17" s="139">
        <f>(F17-F17*G17)</f>
        <v>0</v>
      </c>
    </row>
    <row r="18" spans="1:10">
      <c r="A18" s="333"/>
      <c r="B18" s="246" t="s">
        <v>512</v>
      </c>
      <c r="C18" s="252">
        <v>0</v>
      </c>
      <c r="D18" s="139">
        <f t="shared" si="3"/>
        <v>0</v>
      </c>
      <c r="E18" s="253">
        <v>0</v>
      </c>
      <c r="F18" s="139">
        <f t="shared" si="4"/>
        <v>0</v>
      </c>
      <c r="G18" s="254">
        <v>0</v>
      </c>
      <c r="H18" s="139">
        <f t="shared" ref="H18:H22" si="6">(F18-F18*G18)</f>
        <v>0</v>
      </c>
      <c r="J18">
        <f>+D14/2.5</f>
        <v>0</v>
      </c>
    </row>
    <row r="19" spans="1:10">
      <c r="A19" s="333"/>
      <c r="B19" s="246" t="s">
        <v>513</v>
      </c>
      <c r="C19" s="252">
        <v>0</v>
      </c>
      <c r="D19" s="139">
        <f t="shared" si="3"/>
        <v>0</v>
      </c>
      <c r="E19" s="253">
        <v>0</v>
      </c>
      <c r="F19" s="139">
        <f t="shared" si="4"/>
        <v>0</v>
      </c>
      <c r="G19" s="254">
        <v>0</v>
      </c>
      <c r="H19" s="139">
        <f t="shared" si="6"/>
        <v>0</v>
      </c>
    </row>
    <row r="20" spans="1:10">
      <c r="A20" s="333"/>
      <c r="B20" s="246" t="s">
        <v>514</v>
      </c>
      <c r="C20" s="252">
        <v>0</v>
      </c>
      <c r="D20" s="139">
        <f t="shared" si="3"/>
        <v>0</v>
      </c>
      <c r="E20" s="253">
        <v>0</v>
      </c>
      <c r="F20" s="139">
        <f t="shared" si="4"/>
        <v>0</v>
      </c>
      <c r="G20" s="254">
        <v>0</v>
      </c>
      <c r="H20" s="139">
        <f t="shared" si="6"/>
        <v>0</v>
      </c>
    </row>
    <row r="21" spans="1:10" ht="15.75" customHeight="1">
      <c r="A21" s="333"/>
      <c r="B21" s="246" t="s">
        <v>515</v>
      </c>
      <c r="C21" s="252">
        <v>0</v>
      </c>
      <c r="D21" s="139">
        <f t="shared" si="3"/>
        <v>0</v>
      </c>
      <c r="E21" s="253"/>
      <c r="F21" s="139">
        <f t="shared" si="4"/>
        <v>0</v>
      </c>
      <c r="G21" s="254">
        <v>0</v>
      </c>
      <c r="H21" s="139">
        <f t="shared" si="6"/>
        <v>0</v>
      </c>
    </row>
    <row r="22" spans="1:10" ht="15.75" customHeight="1">
      <c r="A22" s="334"/>
      <c r="B22" s="246" t="s">
        <v>516</v>
      </c>
      <c r="C22" s="252">
        <v>0</v>
      </c>
      <c r="D22" s="139">
        <f t="shared" si="3"/>
        <v>0</v>
      </c>
      <c r="E22" s="253"/>
      <c r="F22" s="139">
        <f t="shared" si="4"/>
        <v>0</v>
      </c>
      <c r="G22" s="254">
        <v>0</v>
      </c>
      <c r="H22" s="139">
        <f t="shared" si="6"/>
        <v>0</v>
      </c>
    </row>
    <row r="23" spans="1:10" ht="15.75" customHeight="1">
      <c r="A23" s="255" t="s">
        <v>517</v>
      </c>
      <c r="B23" s="252">
        <v>0</v>
      </c>
      <c r="C23" s="139">
        <f>B9*B23</f>
        <v>0</v>
      </c>
      <c r="D23" s="139"/>
      <c r="E23" s="253"/>
      <c r="F23" s="139"/>
      <c r="G23" s="254"/>
      <c r="H23" s="139"/>
    </row>
    <row r="24" spans="1:10" ht="15.75" customHeight="1">
      <c r="A24" s="389" t="s">
        <v>518</v>
      </c>
      <c r="B24" s="246" t="s">
        <v>519</v>
      </c>
      <c r="C24" s="252">
        <v>0</v>
      </c>
      <c r="D24" s="139">
        <f>C$23*C24</f>
        <v>0</v>
      </c>
      <c r="E24" s="253">
        <v>0</v>
      </c>
      <c r="F24" s="139">
        <f t="shared" ref="F24:F31" si="7">D24*E24</f>
        <v>0</v>
      </c>
      <c r="G24" s="254">
        <v>0</v>
      </c>
      <c r="H24" s="139">
        <f t="shared" ref="H24:H31" si="8">(F24-F24*G24)</f>
        <v>0</v>
      </c>
    </row>
    <row r="25" spans="1:10" ht="15.75" customHeight="1">
      <c r="A25" s="333"/>
      <c r="B25" s="246" t="s">
        <v>520</v>
      </c>
      <c r="C25" s="252">
        <v>0</v>
      </c>
      <c r="D25" s="139">
        <f t="shared" ref="D25:D31" si="9">C$23*C25</f>
        <v>0</v>
      </c>
      <c r="E25" s="253">
        <v>0</v>
      </c>
      <c r="F25" s="139">
        <f t="shared" si="7"/>
        <v>0</v>
      </c>
      <c r="G25" s="254">
        <v>0</v>
      </c>
      <c r="H25" s="139">
        <f t="shared" si="8"/>
        <v>0</v>
      </c>
    </row>
    <row r="26" spans="1:10" ht="15.75" customHeight="1">
      <c r="A26" s="333"/>
      <c r="B26" s="246" t="s">
        <v>515</v>
      </c>
      <c r="C26" s="252">
        <v>0</v>
      </c>
      <c r="D26" s="139">
        <f t="shared" si="9"/>
        <v>0</v>
      </c>
      <c r="E26" s="253">
        <v>0</v>
      </c>
      <c r="F26" s="139">
        <f t="shared" si="7"/>
        <v>0</v>
      </c>
      <c r="G26" s="254">
        <v>0</v>
      </c>
      <c r="H26" s="139">
        <f t="shared" si="8"/>
        <v>0</v>
      </c>
    </row>
    <row r="27" spans="1:10" ht="15.75" customHeight="1">
      <c r="A27" s="333"/>
      <c r="B27" s="246" t="s">
        <v>512</v>
      </c>
      <c r="C27" s="252">
        <v>0</v>
      </c>
      <c r="D27" s="139">
        <f t="shared" si="9"/>
        <v>0</v>
      </c>
      <c r="E27" s="253">
        <v>0</v>
      </c>
      <c r="F27" s="139">
        <f t="shared" si="7"/>
        <v>0</v>
      </c>
      <c r="G27" s="254">
        <v>0</v>
      </c>
      <c r="H27" s="139">
        <f t="shared" si="8"/>
        <v>0</v>
      </c>
    </row>
    <row r="28" spans="1:10" ht="15.75" customHeight="1">
      <c r="A28" s="333"/>
      <c r="B28" s="246" t="s">
        <v>521</v>
      </c>
      <c r="C28" s="252">
        <v>0</v>
      </c>
      <c r="D28" s="139">
        <f t="shared" si="9"/>
        <v>0</v>
      </c>
      <c r="E28" s="253"/>
      <c r="F28" s="139">
        <f t="shared" si="7"/>
        <v>0</v>
      </c>
      <c r="G28" s="254">
        <v>0</v>
      </c>
      <c r="H28" s="139">
        <f t="shared" si="8"/>
        <v>0</v>
      </c>
    </row>
    <row r="29" spans="1:10" ht="15.75" customHeight="1">
      <c r="A29" s="333"/>
      <c r="B29" s="246"/>
      <c r="C29" s="252">
        <v>0</v>
      </c>
      <c r="D29" s="139">
        <f t="shared" si="9"/>
        <v>0</v>
      </c>
      <c r="E29" s="253"/>
      <c r="F29" s="139">
        <f t="shared" si="7"/>
        <v>0</v>
      </c>
      <c r="G29" s="254">
        <v>0</v>
      </c>
      <c r="H29" s="139">
        <f t="shared" si="8"/>
        <v>0</v>
      </c>
    </row>
    <row r="30" spans="1:10" ht="15.75" customHeight="1">
      <c r="A30" s="333"/>
      <c r="B30" s="246"/>
      <c r="C30" s="252">
        <v>0</v>
      </c>
      <c r="D30" s="139">
        <f t="shared" si="9"/>
        <v>0</v>
      </c>
      <c r="E30" s="253"/>
      <c r="F30" s="139">
        <f t="shared" si="7"/>
        <v>0</v>
      </c>
      <c r="G30" s="254">
        <v>0</v>
      </c>
      <c r="H30" s="139">
        <f t="shared" si="8"/>
        <v>0</v>
      </c>
    </row>
    <row r="31" spans="1:10" ht="15.75" customHeight="1">
      <c r="A31" s="334"/>
      <c r="B31" s="246"/>
      <c r="C31" s="252">
        <v>0</v>
      </c>
      <c r="D31" s="139">
        <f t="shared" si="9"/>
        <v>0</v>
      </c>
      <c r="E31" s="253"/>
      <c r="F31" s="139">
        <f t="shared" si="7"/>
        <v>0</v>
      </c>
      <c r="G31" s="254">
        <v>0</v>
      </c>
      <c r="H31" s="139">
        <f t="shared" si="8"/>
        <v>0</v>
      </c>
    </row>
    <row r="32" spans="1:10" ht="15.75" customHeight="1">
      <c r="A32" s="255" t="s">
        <v>522</v>
      </c>
      <c r="B32" s="252">
        <v>0</v>
      </c>
      <c r="C32" s="139">
        <v>0</v>
      </c>
      <c r="D32" s="139"/>
      <c r="E32" s="253"/>
      <c r="F32" s="139"/>
      <c r="G32" s="254"/>
      <c r="H32" s="139"/>
    </row>
    <row r="33" spans="1:8" ht="15.75" customHeight="1">
      <c r="A33" s="256" t="s">
        <v>523</v>
      </c>
      <c r="B33" s="246" t="s">
        <v>524</v>
      </c>
      <c r="C33" s="252">
        <v>0</v>
      </c>
      <c r="D33" s="139">
        <f t="shared" ref="D33:D36" si="10">C$32*C33</f>
        <v>0</v>
      </c>
      <c r="E33" s="253"/>
      <c r="F33" s="139">
        <f t="shared" ref="F33:F36" si="11">D33*E33</f>
        <v>0</v>
      </c>
      <c r="G33" s="254">
        <v>0</v>
      </c>
      <c r="H33" s="139">
        <f t="shared" ref="H33:H36" si="12">(F33-F33*G33)</f>
        <v>0</v>
      </c>
    </row>
    <row r="34" spans="1:8" ht="15.75" customHeight="1">
      <c r="A34" s="8"/>
      <c r="B34" s="246"/>
      <c r="C34" s="252">
        <v>0</v>
      </c>
      <c r="D34" s="139">
        <f t="shared" si="10"/>
        <v>0</v>
      </c>
      <c r="E34" s="253"/>
      <c r="F34" s="139">
        <f t="shared" si="11"/>
        <v>0</v>
      </c>
      <c r="G34" s="254">
        <v>0</v>
      </c>
      <c r="H34" s="139">
        <f t="shared" si="12"/>
        <v>0</v>
      </c>
    </row>
    <row r="35" spans="1:8" ht="15.75" customHeight="1">
      <c r="A35" s="8"/>
      <c r="B35" s="246"/>
      <c r="C35" s="252">
        <v>0</v>
      </c>
      <c r="D35" s="139">
        <f t="shared" si="10"/>
        <v>0</v>
      </c>
      <c r="E35" s="253"/>
      <c r="F35" s="139">
        <f t="shared" si="11"/>
        <v>0</v>
      </c>
      <c r="G35" s="254">
        <v>0</v>
      </c>
      <c r="H35" s="139">
        <f t="shared" si="12"/>
        <v>0</v>
      </c>
    </row>
    <row r="36" spans="1:8" ht="15.75" customHeight="1">
      <c r="A36" s="257"/>
      <c r="B36" s="246"/>
      <c r="C36" s="252">
        <v>0</v>
      </c>
      <c r="D36" s="139">
        <f t="shared" si="10"/>
        <v>0</v>
      </c>
      <c r="E36" s="253"/>
      <c r="F36" s="139">
        <f t="shared" si="11"/>
        <v>0</v>
      </c>
      <c r="G36" s="254">
        <v>0</v>
      </c>
      <c r="H36" s="139">
        <f t="shared" si="12"/>
        <v>0</v>
      </c>
    </row>
    <row r="37" spans="1:8" ht="15.75" customHeight="1">
      <c r="A37" s="388" t="s">
        <v>525</v>
      </c>
      <c r="B37" s="324"/>
      <c r="C37" s="324"/>
      <c r="D37" s="324"/>
      <c r="E37" s="324"/>
      <c r="F37" s="324"/>
      <c r="G37" s="324"/>
      <c r="H37" s="324"/>
    </row>
    <row r="38" spans="1:8" ht="15.75" customHeight="1"/>
    <row r="39" spans="1:8" ht="15.75" customHeight="1">
      <c r="A39" s="390" t="s">
        <v>728</v>
      </c>
      <c r="B39" s="328"/>
      <c r="C39" s="328"/>
      <c r="D39" s="328"/>
      <c r="E39" s="328"/>
      <c r="F39" s="328"/>
      <c r="G39" s="328"/>
      <c r="H39" s="329"/>
    </row>
    <row r="40" spans="1:8" ht="15.75" customHeight="1">
      <c r="A40" s="383" t="s">
        <v>142</v>
      </c>
      <c r="B40" s="258">
        <v>0.1</v>
      </c>
      <c r="C40" s="258">
        <f t="shared" ref="C40:H40" si="13">+(B40*5%)+B40</f>
        <v>0.10500000000000001</v>
      </c>
      <c r="D40" s="258">
        <f t="shared" si="13"/>
        <v>0.11025000000000001</v>
      </c>
      <c r="E40" s="258">
        <f t="shared" si="13"/>
        <v>0.11576250000000002</v>
      </c>
      <c r="F40" s="258">
        <f t="shared" si="13"/>
        <v>0.12155062500000002</v>
      </c>
      <c r="G40" s="258">
        <f t="shared" si="13"/>
        <v>0.12762815625000001</v>
      </c>
      <c r="H40" s="258">
        <f t="shared" si="13"/>
        <v>0.1340095640625</v>
      </c>
    </row>
    <row r="41" spans="1:8" ht="15.75" customHeight="1">
      <c r="A41" s="334"/>
      <c r="B41" s="244" t="s">
        <v>145</v>
      </c>
      <c r="C41" s="244" t="s">
        <v>146</v>
      </c>
      <c r="D41" s="244" t="s">
        <v>147</v>
      </c>
      <c r="E41" s="244" t="s">
        <v>148</v>
      </c>
      <c r="F41" s="244" t="s">
        <v>149</v>
      </c>
      <c r="G41" s="244" t="s">
        <v>150</v>
      </c>
      <c r="H41" s="244" t="s">
        <v>151</v>
      </c>
    </row>
    <row r="42" spans="1:8" ht="15.75" customHeight="1">
      <c r="A42" s="139" t="str">
        <f t="shared" ref="A42:A50" si="14">B14</f>
        <v>Soybean</v>
      </c>
      <c r="B42" s="139">
        <f t="shared" ref="B42:B50" si="15">H14*$B$40</f>
        <v>0</v>
      </c>
      <c r="C42" s="139">
        <f t="shared" ref="C42:H42" si="16">(B42/B$40)*C$40</f>
        <v>0</v>
      </c>
      <c r="D42" s="139">
        <f t="shared" si="16"/>
        <v>0</v>
      </c>
      <c r="E42" s="139">
        <f t="shared" si="16"/>
        <v>0</v>
      </c>
      <c r="F42" s="139">
        <f t="shared" si="16"/>
        <v>0</v>
      </c>
      <c r="G42" s="139">
        <f t="shared" si="16"/>
        <v>0</v>
      </c>
      <c r="H42" s="139">
        <f t="shared" si="16"/>
        <v>0</v>
      </c>
    </row>
    <row r="43" spans="1:8" ht="15.75" customHeight="1">
      <c r="A43" s="139" t="str">
        <f t="shared" si="14"/>
        <v>Red Gram/Tur</v>
      </c>
      <c r="B43" s="139">
        <f t="shared" si="15"/>
        <v>0</v>
      </c>
      <c r="C43" s="139">
        <f t="shared" ref="C43:H43" si="17">(B43/B$40)*C$40</f>
        <v>0</v>
      </c>
      <c r="D43" s="139">
        <f t="shared" si="17"/>
        <v>0</v>
      </c>
      <c r="E43" s="139">
        <f t="shared" si="17"/>
        <v>0</v>
      </c>
      <c r="F43" s="139">
        <f t="shared" si="17"/>
        <v>0</v>
      </c>
      <c r="G43" s="139">
        <f t="shared" si="17"/>
        <v>0</v>
      </c>
      <c r="H43" s="139">
        <f t="shared" si="17"/>
        <v>0</v>
      </c>
    </row>
    <row r="44" spans="1:8" ht="15.75" customHeight="1">
      <c r="A44" s="139" t="str">
        <f t="shared" si="14"/>
        <v>Paddy/Rice</v>
      </c>
      <c r="B44" s="139">
        <f>H16*$B$40</f>
        <v>6198.75</v>
      </c>
      <c r="C44" s="139">
        <f t="shared" ref="C44:H44" si="18">(B44/B$40)*C$40</f>
        <v>6508.6875000000009</v>
      </c>
      <c r="D44" s="139">
        <f t="shared" si="18"/>
        <v>6834.1218750000007</v>
      </c>
      <c r="E44" s="139">
        <f t="shared" si="18"/>
        <v>7175.8279687500008</v>
      </c>
      <c r="F44" s="139">
        <f t="shared" si="18"/>
        <v>7534.6193671875017</v>
      </c>
      <c r="G44" s="139">
        <f t="shared" si="18"/>
        <v>7911.3503355468756</v>
      </c>
      <c r="H44" s="139">
        <f t="shared" si="18"/>
        <v>8306.917852324219</v>
      </c>
    </row>
    <row r="45" spans="1:8" ht="15.75" customHeight="1">
      <c r="A45" s="139" t="str">
        <f t="shared" si="14"/>
        <v>Green Gram/ Moong</v>
      </c>
      <c r="B45" s="139">
        <f t="shared" si="15"/>
        <v>0</v>
      </c>
      <c r="C45" s="139">
        <f t="shared" ref="C45:H45" si="19">(B45/B$40)*C$40</f>
        <v>0</v>
      </c>
      <c r="D45" s="139">
        <f t="shared" si="19"/>
        <v>0</v>
      </c>
      <c r="E45" s="139">
        <f t="shared" si="19"/>
        <v>0</v>
      </c>
      <c r="F45" s="139">
        <f t="shared" si="19"/>
        <v>0</v>
      </c>
      <c r="G45" s="139">
        <f t="shared" si="19"/>
        <v>0</v>
      </c>
      <c r="H45" s="139">
        <f t="shared" si="19"/>
        <v>0</v>
      </c>
    </row>
    <row r="46" spans="1:8" ht="15.75" customHeight="1">
      <c r="A46" s="139" t="str">
        <f t="shared" si="14"/>
        <v>Maize</v>
      </c>
      <c r="B46" s="139">
        <f t="shared" si="15"/>
        <v>0</v>
      </c>
      <c r="C46" s="139">
        <f t="shared" ref="C46:H46" si="20">(B46/B$40)*C$40</f>
        <v>0</v>
      </c>
      <c r="D46" s="139">
        <f t="shared" si="20"/>
        <v>0</v>
      </c>
      <c r="E46" s="139">
        <f t="shared" si="20"/>
        <v>0</v>
      </c>
      <c r="F46" s="139">
        <f t="shared" si="20"/>
        <v>0</v>
      </c>
      <c r="G46" s="139">
        <f t="shared" si="20"/>
        <v>0</v>
      </c>
      <c r="H46" s="139">
        <f t="shared" si="20"/>
        <v>0</v>
      </c>
    </row>
    <row r="47" spans="1:8" ht="15.75" customHeight="1">
      <c r="A47" s="139" t="str">
        <f t="shared" si="14"/>
        <v>Black Gram/Udid</v>
      </c>
      <c r="B47" s="139">
        <f t="shared" si="15"/>
        <v>0</v>
      </c>
      <c r="C47" s="139">
        <f t="shared" ref="C47:H47" si="21">(B47/B$40)*C$40</f>
        <v>0</v>
      </c>
      <c r="D47" s="139">
        <f t="shared" si="21"/>
        <v>0</v>
      </c>
      <c r="E47" s="139">
        <f t="shared" si="21"/>
        <v>0</v>
      </c>
      <c r="F47" s="139">
        <f t="shared" si="21"/>
        <v>0</v>
      </c>
      <c r="G47" s="139">
        <f t="shared" si="21"/>
        <v>0</v>
      </c>
      <c r="H47" s="139">
        <f t="shared" si="21"/>
        <v>0</v>
      </c>
    </row>
    <row r="48" spans="1:8" ht="15.75" customHeight="1">
      <c r="A48" s="139" t="str">
        <f t="shared" si="14"/>
        <v>Bajra</v>
      </c>
      <c r="B48" s="139">
        <f t="shared" si="15"/>
        <v>0</v>
      </c>
      <c r="C48" s="139">
        <f t="shared" ref="C48:H48" si="22">(B48/B$40)*C$40</f>
        <v>0</v>
      </c>
      <c r="D48" s="139">
        <f t="shared" si="22"/>
        <v>0</v>
      </c>
      <c r="E48" s="139">
        <f t="shared" si="22"/>
        <v>0</v>
      </c>
      <c r="F48" s="139">
        <f t="shared" si="22"/>
        <v>0</v>
      </c>
      <c r="G48" s="139">
        <f t="shared" si="22"/>
        <v>0</v>
      </c>
      <c r="H48" s="139">
        <f t="shared" si="22"/>
        <v>0</v>
      </c>
    </row>
    <row r="49" spans="1:8" ht="15.75" customHeight="1">
      <c r="A49" s="139" t="str">
        <f t="shared" si="14"/>
        <v>Jawar</v>
      </c>
      <c r="B49" s="139">
        <f t="shared" si="15"/>
        <v>0</v>
      </c>
      <c r="C49" s="139">
        <f t="shared" ref="C49:H49" si="23">(B49/B$40)*C$40</f>
        <v>0</v>
      </c>
      <c r="D49" s="139">
        <f t="shared" si="23"/>
        <v>0</v>
      </c>
      <c r="E49" s="139">
        <f t="shared" si="23"/>
        <v>0</v>
      </c>
      <c r="F49" s="139">
        <f t="shared" si="23"/>
        <v>0</v>
      </c>
      <c r="G49" s="139">
        <f t="shared" si="23"/>
        <v>0</v>
      </c>
      <c r="H49" s="139">
        <f t="shared" si="23"/>
        <v>0</v>
      </c>
    </row>
    <row r="50" spans="1:8" ht="15.75" customHeight="1">
      <c r="A50" s="139" t="str">
        <f t="shared" si="14"/>
        <v>Sunflower</v>
      </c>
      <c r="B50" s="139">
        <f t="shared" si="15"/>
        <v>0</v>
      </c>
      <c r="C50" s="139">
        <f t="shared" ref="C50:H50" si="24">(B50/B$40)*C$40</f>
        <v>0</v>
      </c>
      <c r="D50" s="139">
        <f t="shared" si="24"/>
        <v>0</v>
      </c>
      <c r="E50" s="139">
        <f t="shared" si="24"/>
        <v>0</v>
      </c>
      <c r="F50" s="139">
        <f t="shared" si="24"/>
        <v>0</v>
      </c>
      <c r="G50" s="139">
        <f t="shared" si="24"/>
        <v>0</v>
      </c>
      <c r="H50" s="139">
        <f t="shared" si="24"/>
        <v>0</v>
      </c>
    </row>
    <row r="51" spans="1:8" ht="15.75" customHeight="1">
      <c r="A51" s="139" t="str">
        <f t="shared" ref="A51:A58" si="25">B24</f>
        <v>Wheat</v>
      </c>
      <c r="B51" s="139">
        <f t="shared" ref="B51:B58" si="26">H24*$B$40</f>
        <v>0</v>
      </c>
      <c r="C51" s="139">
        <f t="shared" ref="C51:H51" si="27">(B51/B$40)*C$40</f>
        <v>0</v>
      </c>
      <c r="D51" s="139">
        <f t="shared" si="27"/>
        <v>0</v>
      </c>
      <c r="E51" s="139">
        <f t="shared" si="27"/>
        <v>0</v>
      </c>
      <c r="F51" s="139">
        <f t="shared" si="27"/>
        <v>0</v>
      </c>
      <c r="G51" s="139">
        <f t="shared" si="27"/>
        <v>0</v>
      </c>
      <c r="H51" s="139">
        <f t="shared" si="27"/>
        <v>0</v>
      </c>
    </row>
    <row r="52" spans="1:8" ht="15.75" customHeight="1">
      <c r="A52" s="139" t="str">
        <f t="shared" si="25"/>
        <v>Bengal Gram/Channa</v>
      </c>
      <c r="B52" s="139">
        <f t="shared" si="26"/>
        <v>0</v>
      </c>
      <c r="C52" s="139">
        <f t="shared" ref="C52:H52" si="28">(B52/B$40)*C$40</f>
        <v>0</v>
      </c>
      <c r="D52" s="139">
        <f t="shared" si="28"/>
        <v>0</v>
      </c>
      <c r="E52" s="139">
        <f t="shared" si="28"/>
        <v>0</v>
      </c>
      <c r="F52" s="139">
        <f t="shared" si="28"/>
        <v>0</v>
      </c>
      <c r="G52" s="139">
        <f t="shared" si="28"/>
        <v>0</v>
      </c>
      <c r="H52" s="139">
        <f t="shared" si="28"/>
        <v>0</v>
      </c>
    </row>
    <row r="53" spans="1:8" ht="15.75" customHeight="1">
      <c r="A53" s="139" t="str">
        <f t="shared" si="25"/>
        <v>Jawar</v>
      </c>
      <c r="B53" s="139">
        <f t="shared" si="26"/>
        <v>0</v>
      </c>
      <c r="C53" s="139">
        <f t="shared" ref="C53:H53" si="29">(B53/B$40)*C$40</f>
        <v>0</v>
      </c>
      <c r="D53" s="139">
        <f t="shared" si="29"/>
        <v>0</v>
      </c>
      <c r="E53" s="139">
        <f t="shared" si="29"/>
        <v>0</v>
      </c>
      <c r="F53" s="139">
        <f t="shared" si="29"/>
        <v>0</v>
      </c>
      <c r="G53" s="139">
        <f t="shared" si="29"/>
        <v>0</v>
      </c>
      <c r="H53" s="139">
        <f t="shared" si="29"/>
        <v>0</v>
      </c>
    </row>
    <row r="54" spans="1:8" ht="15.75" customHeight="1">
      <c r="A54" s="139" t="str">
        <f t="shared" si="25"/>
        <v>Maize</v>
      </c>
      <c r="B54" s="139">
        <f t="shared" si="26"/>
        <v>0</v>
      </c>
      <c r="C54" s="139">
        <f t="shared" ref="C54:H54" si="30">(B54/B$40)*C$40</f>
        <v>0</v>
      </c>
      <c r="D54" s="139">
        <f t="shared" si="30"/>
        <v>0</v>
      </c>
      <c r="E54" s="139">
        <f t="shared" si="30"/>
        <v>0</v>
      </c>
      <c r="F54" s="139">
        <f t="shared" si="30"/>
        <v>0</v>
      </c>
      <c r="G54" s="139">
        <f t="shared" si="30"/>
        <v>0</v>
      </c>
      <c r="H54" s="139">
        <f t="shared" si="30"/>
        <v>0</v>
      </c>
    </row>
    <row r="55" spans="1:8" ht="15.75" customHeight="1">
      <c r="A55" s="139" t="str">
        <f t="shared" si="25"/>
        <v>Safflower</v>
      </c>
      <c r="B55" s="139">
        <f t="shared" si="26"/>
        <v>0</v>
      </c>
      <c r="C55" s="139">
        <f t="shared" ref="C55:H55" si="31">(B55/B$40)*C$40</f>
        <v>0</v>
      </c>
      <c r="D55" s="139">
        <f t="shared" si="31"/>
        <v>0</v>
      </c>
      <c r="E55" s="139">
        <f t="shared" si="31"/>
        <v>0</v>
      </c>
      <c r="F55" s="139">
        <f t="shared" si="31"/>
        <v>0</v>
      </c>
      <c r="G55" s="139">
        <f t="shared" si="31"/>
        <v>0</v>
      </c>
      <c r="H55" s="139">
        <f t="shared" si="31"/>
        <v>0</v>
      </c>
    </row>
    <row r="56" spans="1:8" ht="15.75" customHeight="1">
      <c r="A56" s="139">
        <f t="shared" si="25"/>
        <v>0</v>
      </c>
      <c r="B56" s="139">
        <f t="shared" si="26"/>
        <v>0</v>
      </c>
      <c r="C56" s="139">
        <f t="shared" ref="C56:H56" si="32">(B56/B$40)*C$40</f>
        <v>0</v>
      </c>
      <c r="D56" s="139">
        <f t="shared" si="32"/>
        <v>0</v>
      </c>
      <c r="E56" s="139">
        <f t="shared" si="32"/>
        <v>0</v>
      </c>
      <c r="F56" s="139">
        <f t="shared" si="32"/>
        <v>0</v>
      </c>
      <c r="G56" s="139">
        <f t="shared" si="32"/>
        <v>0</v>
      </c>
      <c r="H56" s="139">
        <f t="shared" si="32"/>
        <v>0</v>
      </c>
    </row>
    <row r="57" spans="1:8" ht="15.75" customHeight="1">
      <c r="A57" s="139">
        <f t="shared" si="25"/>
        <v>0</v>
      </c>
      <c r="B57" s="139">
        <f t="shared" si="26"/>
        <v>0</v>
      </c>
      <c r="C57" s="139">
        <f t="shared" ref="C57:H57" si="33">(B57/B$40)*C$40</f>
        <v>0</v>
      </c>
      <c r="D57" s="139">
        <f t="shared" si="33"/>
        <v>0</v>
      </c>
      <c r="E57" s="139">
        <f t="shared" si="33"/>
        <v>0</v>
      </c>
      <c r="F57" s="139">
        <f t="shared" si="33"/>
        <v>0</v>
      </c>
      <c r="G57" s="139">
        <f t="shared" si="33"/>
        <v>0</v>
      </c>
      <c r="H57" s="139">
        <f t="shared" si="33"/>
        <v>0</v>
      </c>
    </row>
    <row r="58" spans="1:8" ht="15.75" customHeight="1">
      <c r="A58" s="139">
        <f t="shared" si="25"/>
        <v>0</v>
      </c>
      <c r="B58" s="139">
        <f t="shared" si="26"/>
        <v>0</v>
      </c>
      <c r="C58" s="139">
        <f t="shared" ref="C58:H58" si="34">(B58/B$40)*C$40</f>
        <v>0</v>
      </c>
      <c r="D58" s="139">
        <f t="shared" si="34"/>
        <v>0</v>
      </c>
      <c r="E58" s="139">
        <f t="shared" si="34"/>
        <v>0</v>
      </c>
      <c r="F58" s="139">
        <f t="shared" si="34"/>
        <v>0</v>
      </c>
      <c r="G58" s="139">
        <f t="shared" si="34"/>
        <v>0</v>
      </c>
      <c r="H58" s="139">
        <f t="shared" si="34"/>
        <v>0</v>
      </c>
    </row>
    <row r="59" spans="1:8" ht="15.75" customHeight="1">
      <c r="A59" s="139" t="str">
        <f t="shared" ref="A59:A62" si="35">B33</f>
        <v>Groundnut</v>
      </c>
      <c r="B59" s="139">
        <f t="shared" ref="B59:B62" si="36">H33*$B$40</f>
        <v>0</v>
      </c>
      <c r="C59" s="139">
        <f t="shared" ref="C59:H59" si="37">(B59/B$40)*C$40</f>
        <v>0</v>
      </c>
      <c r="D59" s="139">
        <f t="shared" si="37"/>
        <v>0</v>
      </c>
      <c r="E59" s="139">
        <f t="shared" si="37"/>
        <v>0</v>
      </c>
      <c r="F59" s="139">
        <f t="shared" si="37"/>
        <v>0</v>
      </c>
      <c r="G59" s="139">
        <f t="shared" si="37"/>
        <v>0</v>
      </c>
      <c r="H59" s="139">
        <f t="shared" si="37"/>
        <v>0</v>
      </c>
    </row>
    <row r="60" spans="1:8" ht="15.75" customHeight="1">
      <c r="A60" s="139">
        <f t="shared" si="35"/>
        <v>0</v>
      </c>
      <c r="B60" s="139">
        <f t="shared" si="36"/>
        <v>0</v>
      </c>
      <c r="C60" s="139">
        <f t="shared" ref="C60:H60" si="38">(B60/B$40)*C$40</f>
        <v>0</v>
      </c>
      <c r="D60" s="139">
        <f t="shared" si="38"/>
        <v>0</v>
      </c>
      <c r="E60" s="139">
        <f t="shared" si="38"/>
        <v>0</v>
      </c>
      <c r="F60" s="139">
        <f t="shared" si="38"/>
        <v>0</v>
      </c>
      <c r="G60" s="139">
        <f t="shared" si="38"/>
        <v>0</v>
      </c>
      <c r="H60" s="139">
        <f t="shared" si="38"/>
        <v>0</v>
      </c>
    </row>
    <row r="61" spans="1:8" ht="15.75" customHeight="1">
      <c r="A61" s="139">
        <f t="shared" si="35"/>
        <v>0</v>
      </c>
      <c r="B61" s="139">
        <f t="shared" si="36"/>
        <v>0</v>
      </c>
      <c r="C61" s="139">
        <f t="shared" ref="C61:H61" si="39">(B61/B$40)*C$40</f>
        <v>0</v>
      </c>
      <c r="D61" s="139">
        <f t="shared" si="39"/>
        <v>0</v>
      </c>
      <c r="E61" s="139">
        <f t="shared" si="39"/>
        <v>0</v>
      </c>
      <c r="F61" s="139">
        <f t="shared" si="39"/>
        <v>0</v>
      </c>
      <c r="G61" s="139">
        <f t="shared" si="39"/>
        <v>0</v>
      </c>
      <c r="H61" s="139">
        <f t="shared" si="39"/>
        <v>0</v>
      </c>
    </row>
    <row r="62" spans="1:8" ht="15.75" customHeight="1">
      <c r="A62" s="139">
        <f t="shared" si="35"/>
        <v>0</v>
      </c>
      <c r="B62" s="139">
        <f t="shared" si="36"/>
        <v>0</v>
      </c>
      <c r="C62" s="139">
        <f t="shared" ref="C62:H62" si="40">(B62/B$40)*C$40</f>
        <v>0</v>
      </c>
      <c r="D62" s="139">
        <f t="shared" si="40"/>
        <v>0</v>
      </c>
      <c r="E62" s="139">
        <f t="shared" si="40"/>
        <v>0</v>
      </c>
      <c r="F62" s="139">
        <f t="shared" si="40"/>
        <v>0</v>
      </c>
      <c r="G62" s="139">
        <f t="shared" si="40"/>
        <v>0</v>
      </c>
      <c r="H62" s="139">
        <f t="shared" si="40"/>
        <v>0</v>
      </c>
    </row>
    <row r="63" spans="1:8" ht="15.75" customHeight="1"/>
    <row r="64" spans="1:8" ht="15.75" customHeight="1">
      <c r="A64" s="384" t="s">
        <v>526</v>
      </c>
      <c r="B64" s="328"/>
      <c r="C64" s="328"/>
      <c r="D64" s="328"/>
      <c r="E64" s="328"/>
      <c r="F64" s="328"/>
      <c r="G64" s="328"/>
      <c r="H64" s="329"/>
    </row>
    <row r="65" spans="1:8" ht="15.75" customHeight="1">
      <c r="A65" s="391" t="s">
        <v>142</v>
      </c>
      <c r="B65" s="259">
        <v>0.9</v>
      </c>
      <c r="C65" s="259">
        <f>+(B65*5%)+B65</f>
        <v>0.94500000000000006</v>
      </c>
      <c r="D65" s="259">
        <f t="shared" ref="D65:H65" si="41">+(C65*5%)+C65</f>
        <v>0.99225000000000008</v>
      </c>
      <c r="E65" s="259">
        <f t="shared" si="41"/>
        <v>1.0418625000000001</v>
      </c>
      <c r="F65" s="259">
        <f t="shared" si="41"/>
        <v>1.0939556250000002</v>
      </c>
      <c r="G65" s="259">
        <f t="shared" si="41"/>
        <v>1.1486534062500002</v>
      </c>
      <c r="H65" s="259">
        <f t="shared" si="41"/>
        <v>1.2060860765625003</v>
      </c>
    </row>
    <row r="66" spans="1:8" ht="15.75" customHeight="1">
      <c r="A66" s="334"/>
      <c r="B66" s="244" t="s">
        <v>145</v>
      </c>
      <c r="C66" s="244" t="s">
        <v>146</v>
      </c>
      <c r="D66" s="244" t="s">
        <v>147</v>
      </c>
      <c r="E66" s="244" t="s">
        <v>148</v>
      </c>
      <c r="F66" s="244" t="s">
        <v>149</v>
      </c>
      <c r="G66" s="244" t="s">
        <v>150</v>
      </c>
      <c r="H66" s="244" t="s">
        <v>151</v>
      </c>
    </row>
    <row r="67" spans="1:8" ht="15.75" customHeight="1">
      <c r="A67" s="139" t="str">
        <f t="shared" ref="A67:A87" si="42">A42</f>
        <v>Soybean</v>
      </c>
      <c r="B67" s="139">
        <f>H14*$B$65*0</f>
        <v>0</v>
      </c>
      <c r="C67" s="139">
        <f t="shared" ref="C67:H67" si="43">(B67/B$65)*C$65</f>
        <v>0</v>
      </c>
      <c r="D67" s="139">
        <f t="shared" si="43"/>
        <v>0</v>
      </c>
      <c r="E67" s="139">
        <f t="shared" si="43"/>
        <v>0</v>
      </c>
      <c r="F67" s="139">
        <f t="shared" si="43"/>
        <v>0</v>
      </c>
      <c r="G67" s="139">
        <f t="shared" si="43"/>
        <v>0</v>
      </c>
      <c r="H67" s="139">
        <f t="shared" si="43"/>
        <v>0</v>
      </c>
    </row>
    <row r="68" spans="1:8" ht="15.75" customHeight="1">
      <c r="A68" s="139" t="str">
        <f t="shared" si="42"/>
        <v>Red Gram/Tur</v>
      </c>
      <c r="B68" s="139">
        <f t="shared" ref="B68:B75" si="44">H15*$B$65</f>
        <v>0</v>
      </c>
      <c r="C68" s="139">
        <f t="shared" ref="C68:H68" si="45">(B68/B$65)*C$65</f>
        <v>0</v>
      </c>
      <c r="D68" s="139">
        <f t="shared" si="45"/>
        <v>0</v>
      </c>
      <c r="E68" s="139">
        <f t="shared" si="45"/>
        <v>0</v>
      </c>
      <c r="F68" s="139">
        <f t="shared" si="45"/>
        <v>0</v>
      </c>
      <c r="G68" s="139">
        <f t="shared" si="45"/>
        <v>0</v>
      </c>
      <c r="H68" s="139">
        <f t="shared" si="45"/>
        <v>0</v>
      </c>
    </row>
    <row r="69" spans="1:8" ht="15.75" customHeight="1">
      <c r="A69" s="139" t="str">
        <f t="shared" si="42"/>
        <v>Paddy/Rice</v>
      </c>
      <c r="B69" s="139">
        <f>H16*$B$65</f>
        <v>55788.75</v>
      </c>
      <c r="C69" s="139">
        <f t="shared" ref="C69:H69" si="46">(B69/B$65)*C$65</f>
        <v>58578.187500000007</v>
      </c>
      <c r="D69" s="139">
        <f t="shared" si="46"/>
        <v>61507.096875000003</v>
      </c>
      <c r="E69" s="139">
        <f t="shared" si="46"/>
        <v>64582.45171875001</v>
      </c>
      <c r="F69" s="139">
        <f t="shared" si="46"/>
        <v>67811.574304687514</v>
      </c>
      <c r="G69" s="139">
        <f t="shared" si="46"/>
        <v>71202.153019921883</v>
      </c>
      <c r="H69" s="139">
        <f t="shared" si="46"/>
        <v>74762.260670917982</v>
      </c>
    </row>
    <row r="70" spans="1:8" ht="15.75" customHeight="1">
      <c r="A70" s="139" t="str">
        <f t="shared" si="42"/>
        <v>Green Gram/ Moong</v>
      </c>
      <c r="B70" s="139">
        <f t="shared" si="44"/>
        <v>0</v>
      </c>
      <c r="C70" s="139">
        <f t="shared" ref="C70:H70" si="47">(B70/B$65)*C$65</f>
        <v>0</v>
      </c>
      <c r="D70" s="139">
        <f t="shared" si="47"/>
        <v>0</v>
      </c>
      <c r="E70" s="139">
        <f t="shared" si="47"/>
        <v>0</v>
      </c>
      <c r="F70" s="139">
        <f t="shared" si="47"/>
        <v>0</v>
      </c>
      <c r="G70" s="139">
        <f t="shared" si="47"/>
        <v>0</v>
      </c>
      <c r="H70" s="139">
        <f t="shared" si="47"/>
        <v>0</v>
      </c>
    </row>
    <row r="71" spans="1:8" ht="15.75" customHeight="1">
      <c r="A71" s="139" t="str">
        <f t="shared" si="42"/>
        <v>Maize</v>
      </c>
      <c r="B71" s="139">
        <f t="shared" si="44"/>
        <v>0</v>
      </c>
      <c r="C71" s="139">
        <f t="shared" ref="C71:H71" si="48">(B71/B$65)*C$65</f>
        <v>0</v>
      </c>
      <c r="D71" s="139">
        <f t="shared" si="48"/>
        <v>0</v>
      </c>
      <c r="E71" s="139">
        <f t="shared" si="48"/>
        <v>0</v>
      </c>
      <c r="F71" s="139">
        <f t="shared" si="48"/>
        <v>0</v>
      </c>
      <c r="G71" s="139">
        <f t="shared" si="48"/>
        <v>0</v>
      </c>
      <c r="H71" s="139">
        <f t="shared" si="48"/>
        <v>0</v>
      </c>
    </row>
    <row r="72" spans="1:8" ht="15.75" customHeight="1">
      <c r="A72" s="139" t="str">
        <f t="shared" si="42"/>
        <v>Black Gram/Udid</v>
      </c>
      <c r="B72" s="139">
        <f t="shared" si="44"/>
        <v>0</v>
      </c>
      <c r="C72" s="139">
        <f t="shared" ref="C72:H72" si="49">(B72/B$65)*C$65</f>
        <v>0</v>
      </c>
      <c r="D72" s="139">
        <f t="shared" si="49"/>
        <v>0</v>
      </c>
      <c r="E72" s="139">
        <f t="shared" si="49"/>
        <v>0</v>
      </c>
      <c r="F72" s="139">
        <f t="shared" si="49"/>
        <v>0</v>
      </c>
      <c r="G72" s="139">
        <f t="shared" si="49"/>
        <v>0</v>
      </c>
      <c r="H72" s="139">
        <f t="shared" si="49"/>
        <v>0</v>
      </c>
    </row>
    <row r="73" spans="1:8" ht="15.75" customHeight="1">
      <c r="A73" s="139" t="str">
        <f t="shared" si="42"/>
        <v>Bajra</v>
      </c>
      <c r="B73" s="139">
        <f t="shared" si="44"/>
        <v>0</v>
      </c>
      <c r="C73" s="139">
        <f t="shared" ref="C73:H73" si="50">(B73/B$65)*C$65</f>
        <v>0</v>
      </c>
      <c r="D73" s="139">
        <f t="shared" si="50"/>
        <v>0</v>
      </c>
      <c r="E73" s="139">
        <f t="shared" si="50"/>
        <v>0</v>
      </c>
      <c r="F73" s="139">
        <f t="shared" si="50"/>
        <v>0</v>
      </c>
      <c r="G73" s="139">
        <f t="shared" si="50"/>
        <v>0</v>
      </c>
      <c r="H73" s="139">
        <f t="shared" si="50"/>
        <v>0</v>
      </c>
    </row>
    <row r="74" spans="1:8" ht="15.75" customHeight="1">
      <c r="A74" s="139" t="str">
        <f t="shared" si="42"/>
        <v>Jawar</v>
      </c>
      <c r="B74" s="139">
        <f t="shared" si="44"/>
        <v>0</v>
      </c>
      <c r="C74" s="139">
        <f t="shared" ref="C74:H74" si="51">(B74/B$65)*C$65</f>
        <v>0</v>
      </c>
      <c r="D74" s="139">
        <f t="shared" si="51"/>
        <v>0</v>
      </c>
      <c r="E74" s="139">
        <f t="shared" si="51"/>
        <v>0</v>
      </c>
      <c r="F74" s="139">
        <f t="shared" si="51"/>
        <v>0</v>
      </c>
      <c r="G74" s="139">
        <f t="shared" si="51"/>
        <v>0</v>
      </c>
      <c r="H74" s="139">
        <f t="shared" si="51"/>
        <v>0</v>
      </c>
    </row>
    <row r="75" spans="1:8" ht="15.75" customHeight="1">
      <c r="A75" s="139" t="str">
        <f t="shared" si="42"/>
        <v>Sunflower</v>
      </c>
      <c r="B75" s="139">
        <f t="shared" si="44"/>
        <v>0</v>
      </c>
      <c r="C75" s="139">
        <f t="shared" ref="C75:H75" si="52">(B75/B$65)*C$65</f>
        <v>0</v>
      </c>
      <c r="D75" s="139">
        <f t="shared" si="52"/>
        <v>0</v>
      </c>
      <c r="E75" s="139">
        <f t="shared" si="52"/>
        <v>0</v>
      </c>
      <c r="F75" s="139">
        <f t="shared" si="52"/>
        <v>0</v>
      </c>
      <c r="G75" s="139">
        <f t="shared" si="52"/>
        <v>0</v>
      </c>
      <c r="H75" s="139">
        <f t="shared" si="52"/>
        <v>0</v>
      </c>
    </row>
    <row r="76" spans="1:8" ht="15.75" customHeight="1">
      <c r="A76" s="139" t="str">
        <f t="shared" si="42"/>
        <v>Wheat</v>
      </c>
      <c r="B76" s="139">
        <f t="shared" ref="B76:B83" si="53">H24*$B$65</f>
        <v>0</v>
      </c>
      <c r="C76" s="139">
        <f t="shared" ref="C76:H76" si="54">(B76/B$65)*C$65</f>
        <v>0</v>
      </c>
      <c r="D76" s="139">
        <f t="shared" si="54"/>
        <v>0</v>
      </c>
      <c r="E76" s="139">
        <f t="shared" si="54"/>
        <v>0</v>
      </c>
      <c r="F76" s="139">
        <f t="shared" si="54"/>
        <v>0</v>
      </c>
      <c r="G76" s="139">
        <f t="shared" si="54"/>
        <v>0</v>
      </c>
      <c r="H76" s="139">
        <f t="shared" si="54"/>
        <v>0</v>
      </c>
    </row>
    <row r="77" spans="1:8" ht="15.75" customHeight="1">
      <c r="A77" s="139" t="str">
        <f t="shared" si="42"/>
        <v>Bengal Gram/Channa</v>
      </c>
      <c r="B77" s="139">
        <f t="shared" si="53"/>
        <v>0</v>
      </c>
      <c r="C77" s="139">
        <f t="shared" ref="C77:H77" si="55">(B77/B$65)*C$65</f>
        <v>0</v>
      </c>
      <c r="D77" s="139">
        <f t="shared" si="55"/>
        <v>0</v>
      </c>
      <c r="E77" s="139">
        <f t="shared" si="55"/>
        <v>0</v>
      </c>
      <c r="F77" s="139">
        <f t="shared" si="55"/>
        <v>0</v>
      </c>
      <c r="G77" s="139">
        <f t="shared" si="55"/>
        <v>0</v>
      </c>
      <c r="H77" s="139">
        <f t="shared" si="55"/>
        <v>0</v>
      </c>
    </row>
    <row r="78" spans="1:8" ht="15.75" customHeight="1">
      <c r="A78" s="139" t="str">
        <f t="shared" si="42"/>
        <v>Jawar</v>
      </c>
      <c r="B78" s="139">
        <f t="shared" si="53"/>
        <v>0</v>
      </c>
      <c r="C78" s="139">
        <f t="shared" ref="C78:H78" si="56">(B78/B$65)*C$65</f>
        <v>0</v>
      </c>
      <c r="D78" s="139">
        <f t="shared" si="56"/>
        <v>0</v>
      </c>
      <c r="E78" s="139">
        <f t="shared" si="56"/>
        <v>0</v>
      </c>
      <c r="F78" s="139">
        <f t="shared" si="56"/>
        <v>0</v>
      </c>
      <c r="G78" s="139">
        <f t="shared" si="56"/>
        <v>0</v>
      </c>
      <c r="H78" s="139">
        <f t="shared" si="56"/>
        <v>0</v>
      </c>
    </row>
    <row r="79" spans="1:8" ht="15.75" customHeight="1">
      <c r="A79" s="139" t="str">
        <f t="shared" si="42"/>
        <v>Maize</v>
      </c>
      <c r="B79" s="139">
        <f t="shared" si="53"/>
        <v>0</v>
      </c>
      <c r="C79" s="139">
        <f t="shared" ref="C79:H79" si="57">(B79/B$65)*C$65</f>
        <v>0</v>
      </c>
      <c r="D79" s="139">
        <f t="shared" si="57"/>
        <v>0</v>
      </c>
      <c r="E79" s="139">
        <f t="shared" si="57"/>
        <v>0</v>
      </c>
      <c r="F79" s="139">
        <f t="shared" si="57"/>
        <v>0</v>
      </c>
      <c r="G79" s="139">
        <f t="shared" si="57"/>
        <v>0</v>
      </c>
      <c r="H79" s="139">
        <f t="shared" si="57"/>
        <v>0</v>
      </c>
    </row>
    <row r="80" spans="1:8" ht="15.75" customHeight="1">
      <c r="A80" s="139" t="str">
        <f t="shared" si="42"/>
        <v>Safflower</v>
      </c>
      <c r="B80" s="139">
        <f t="shared" si="53"/>
        <v>0</v>
      </c>
      <c r="C80" s="139">
        <f t="shared" ref="C80:H80" si="58">(B80/B$65)*C$65</f>
        <v>0</v>
      </c>
      <c r="D80" s="139">
        <f t="shared" si="58"/>
        <v>0</v>
      </c>
      <c r="E80" s="139">
        <f t="shared" si="58"/>
        <v>0</v>
      </c>
      <c r="F80" s="139">
        <f t="shared" si="58"/>
        <v>0</v>
      </c>
      <c r="G80" s="139">
        <f t="shared" si="58"/>
        <v>0</v>
      </c>
      <c r="H80" s="139">
        <f t="shared" si="58"/>
        <v>0</v>
      </c>
    </row>
    <row r="81" spans="1:8" ht="15.75" customHeight="1">
      <c r="A81" s="139">
        <f t="shared" si="42"/>
        <v>0</v>
      </c>
      <c r="B81" s="139">
        <f t="shared" si="53"/>
        <v>0</v>
      </c>
      <c r="C81" s="139">
        <f t="shared" ref="C81:H81" si="59">(B81/B$65)*C$65</f>
        <v>0</v>
      </c>
      <c r="D81" s="139">
        <f t="shared" si="59"/>
        <v>0</v>
      </c>
      <c r="E81" s="139">
        <f t="shared" si="59"/>
        <v>0</v>
      </c>
      <c r="F81" s="139">
        <f t="shared" si="59"/>
        <v>0</v>
      </c>
      <c r="G81" s="139">
        <f t="shared" si="59"/>
        <v>0</v>
      </c>
      <c r="H81" s="139">
        <f t="shared" si="59"/>
        <v>0</v>
      </c>
    </row>
    <row r="82" spans="1:8" ht="15.75" customHeight="1">
      <c r="A82" s="139">
        <f t="shared" si="42"/>
        <v>0</v>
      </c>
      <c r="B82" s="139">
        <f t="shared" si="53"/>
        <v>0</v>
      </c>
      <c r="C82" s="139">
        <f t="shared" ref="C82:H82" si="60">(B82/B$65)*C$65</f>
        <v>0</v>
      </c>
      <c r="D82" s="139">
        <f t="shared" si="60"/>
        <v>0</v>
      </c>
      <c r="E82" s="139">
        <f t="shared" si="60"/>
        <v>0</v>
      </c>
      <c r="F82" s="139">
        <f t="shared" si="60"/>
        <v>0</v>
      </c>
      <c r="G82" s="139">
        <f t="shared" si="60"/>
        <v>0</v>
      </c>
      <c r="H82" s="139">
        <f t="shared" si="60"/>
        <v>0</v>
      </c>
    </row>
    <row r="83" spans="1:8" ht="15.75" customHeight="1">
      <c r="A83" s="139">
        <f t="shared" si="42"/>
        <v>0</v>
      </c>
      <c r="B83" s="139">
        <f t="shared" si="53"/>
        <v>0</v>
      </c>
      <c r="C83" s="139">
        <f t="shared" ref="C83:H83" si="61">(B83/B$65)*C$65</f>
        <v>0</v>
      </c>
      <c r="D83" s="139">
        <f t="shared" si="61"/>
        <v>0</v>
      </c>
      <c r="E83" s="139">
        <f t="shared" si="61"/>
        <v>0</v>
      </c>
      <c r="F83" s="139">
        <f t="shared" si="61"/>
        <v>0</v>
      </c>
      <c r="G83" s="139">
        <f t="shared" si="61"/>
        <v>0</v>
      </c>
      <c r="H83" s="139">
        <f t="shared" si="61"/>
        <v>0</v>
      </c>
    </row>
    <row r="84" spans="1:8" ht="15.75" customHeight="1">
      <c r="A84" s="139" t="str">
        <f t="shared" si="42"/>
        <v>Groundnut</v>
      </c>
      <c r="B84" s="139">
        <f t="shared" ref="B84:B87" si="62">H33*$B$65</f>
        <v>0</v>
      </c>
      <c r="C84" s="139">
        <f t="shared" ref="C84:H84" si="63">(B84/B$65)*C$65</f>
        <v>0</v>
      </c>
      <c r="D84" s="139">
        <f t="shared" si="63"/>
        <v>0</v>
      </c>
      <c r="E84" s="139">
        <f t="shared" si="63"/>
        <v>0</v>
      </c>
      <c r="F84" s="139">
        <f t="shared" si="63"/>
        <v>0</v>
      </c>
      <c r="G84" s="139">
        <f t="shared" si="63"/>
        <v>0</v>
      </c>
      <c r="H84" s="139">
        <f t="shared" si="63"/>
        <v>0</v>
      </c>
    </row>
    <row r="85" spans="1:8" ht="15.75" customHeight="1">
      <c r="A85" s="139">
        <f t="shared" si="42"/>
        <v>0</v>
      </c>
      <c r="B85" s="139">
        <f t="shared" si="62"/>
        <v>0</v>
      </c>
      <c r="C85" s="139">
        <f t="shared" ref="C85:H85" si="64">(B85/B$65)*C$65</f>
        <v>0</v>
      </c>
      <c r="D85" s="139">
        <f t="shared" si="64"/>
        <v>0</v>
      </c>
      <c r="E85" s="139">
        <f t="shared" si="64"/>
        <v>0</v>
      </c>
      <c r="F85" s="139">
        <f t="shared" si="64"/>
        <v>0</v>
      </c>
      <c r="G85" s="139">
        <f t="shared" si="64"/>
        <v>0</v>
      </c>
      <c r="H85" s="139">
        <f t="shared" si="64"/>
        <v>0</v>
      </c>
    </row>
    <row r="86" spans="1:8" ht="15.75" customHeight="1">
      <c r="A86" s="139">
        <f t="shared" si="42"/>
        <v>0</v>
      </c>
      <c r="B86" s="139">
        <f t="shared" si="62"/>
        <v>0</v>
      </c>
      <c r="C86" s="139">
        <f t="shared" ref="C86:H86" si="65">(B86/B$65)*C$65</f>
        <v>0</v>
      </c>
      <c r="D86" s="139">
        <f t="shared" si="65"/>
        <v>0</v>
      </c>
      <c r="E86" s="139">
        <f t="shared" si="65"/>
        <v>0</v>
      </c>
      <c r="F86" s="139">
        <f t="shared" si="65"/>
        <v>0</v>
      </c>
      <c r="G86" s="139">
        <f t="shared" si="65"/>
        <v>0</v>
      </c>
      <c r="H86" s="139">
        <f t="shared" si="65"/>
        <v>0</v>
      </c>
    </row>
    <row r="87" spans="1:8" ht="15.75" customHeight="1">
      <c r="A87" s="139">
        <f t="shared" si="42"/>
        <v>0</v>
      </c>
      <c r="B87" s="139">
        <f t="shared" si="62"/>
        <v>0</v>
      </c>
      <c r="C87" s="139">
        <f t="shared" ref="C87:H87" si="66">(B87/B$65)*C$65</f>
        <v>0</v>
      </c>
      <c r="D87" s="139">
        <f t="shared" si="66"/>
        <v>0</v>
      </c>
      <c r="E87" s="139">
        <f t="shared" si="66"/>
        <v>0</v>
      </c>
      <c r="F87" s="139">
        <f t="shared" si="66"/>
        <v>0</v>
      </c>
      <c r="G87" s="139">
        <f t="shared" si="66"/>
        <v>0</v>
      </c>
      <c r="H87" s="139">
        <f t="shared" si="66"/>
        <v>0</v>
      </c>
    </row>
    <row r="88" spans="1:8" ht="15.75" customHeight="1"/>
    <row r="89" spans="1:8" ht="15.75" customHeight="1">
      <c r="A89" s="386" t="s">
        <v>527</v>
      </c>
      <c r="B89" s="328"/>
      <c r="C89" s="328"/>
      <c r="D89" s="328"/>
      <c r="E89" s="328"/>
      <c r="F89" s="328"/>
      <c r="G89" s="328"/>
      <c r="H89" s="329"/>
    </row>
    <row r="90" spans="1:8" ht="15.75" customHeight="1">
      <c r="A90" s="385" t="s">
        <v>142</v>
      </c>
      <c r="B90" s="260">
        <v>0</v>
      </c>
      <c r="C90" s="261">
        <v>0</v>
      </c>
      <c r="D90" s="261">
        <v>0</v>
      </c>
      <c r="E90" s="261">
        <v>0</v>
      </c>
      <c r="F90" s="261">
        <v>0</v>
      </c>
      <c r="G90" s="261">
        <v>0</v>
      </c>
      <c r="H90" s="261">
        <v>0</v>
      </c>
    </row>
    <row r="91" spans="1:8" ht="15.75" customHeight="1">
      <c r="A91" s="334"/>
      <c r="B91" s="244" t="s">
        <v>145</v>
      </c>
      <c r="C91" s="244" t="s">
        <v>146</v>
      </c>
      <c r="D91" s="244" t="s">
        <v>147</v>
      </c>
      <c r="E91" s="244" t="s">
        <v>148</v>
      </c>
      <c r="F91" s="244" t="s">
        <v>149</v>
      </c>
      <c r="G91" s="244" t="s">
        <v>150</v>
      </c>
      <c r="H91" s="244" t="s">
        <v>151</v>
      </c>
    </row>
    <row r="92" spans="1:8" ht="15.75" customHeight="1">
      <c r="A92" s="139" t="str">
        <f t="shared" ref="A92:A112" si="67">A67</f>
        <v>Soybean</v>
      </c>
      <c r="B92" s="139">
        <v>0</v>
      </c>
      <c r="C92" s="139">
        <v>0</v>
      </c>
      <c r="D92" s="139">
        <v>0</v>
      </c>
      <c r="E92" s="139">
        <v>0</v>
      </c>
      <c r="F92" s="139">
        <v>0</v>
      </c>
      <c r="G92" s="139">
        <v>0</v>
      </c>
      <c r="H92" s="139">
        <v>0</v>
      </c>
    </row>
    <row r="93" spans="1:8" ht="15.75" customHeight="1">
      <c r="A93" s="139" t="str">
        <f t="shared" si="67"/>
        <v>Red Gram/Tur</v>
      </c>
      <c r="B93" s="139">
        <v>0</v>
      </c>
      <c r="C93" s="139">
        <v>0</v>
      </c>
      <c r="D93" s="139">
        <v>0</v>
      </c>
      <c r="E93" s="139">
        <v>0</v>
      </c>
      <c r="F93" s="139">
        <v>0</v>
      </c>
      <c r="G93" s="139">
        <v>0</v>
      </c>
      <c r="H93" s="139">
        <v>0</v>
      </c>
    </row>
    <row r="94" spans="1:8" ht="15.75" customHeight="1">
      <c r="A94" s="139" t="str">
        <f t="shared" si="67"/>
        <v>Paddy/Rice</v>
      </c>
      <c r="B94" s="139">
        <v>0</v>
      </c>
      <c r="C94" s="139">
        <v>0</v>
      </c>
      <c r="D94" s="139">
        <v>0</v>
      </c>
      <c r="E94" s="139">
        <v>0</v>
      </c>
      <c r="F94" s="139">
        <v>0</v>
      </c>
      <c r="G94" s="139">
        <v>0</v>
      </c>
      <c r="H94" s="139">
        <v>0</v>
      </c>
    </row>
    <row r="95" spans="1:8" ht="15.75" customHeight="1">
      <c r="A95" s="139" t="str">
        <f t="shared" si="67"/>
        <v>Green Gram/ Moong</v>
      </c>
      <c r="B95" s="139">
        <v>0</v>
      </c>
      <c r="C95" s="139">
        <v>0</v>
      </c>
      <c r="D95" s="139">
        <v>0</v>
      </c>
      <c r="E95" s="139">
        <v>0</v>
      </c>
      <c r="F95" s="139">
        <v>0</v>
      </c>
      <c r="G95" s="139">
        <v>0</v>
      </c>
      <c r="H95" s="139">
        <v>0</v>
      </c>
    </row>
    <row r="96" spans="1:8" ht="15.75" customHeight="1">
      <c r="A96" s="139" t="str">
        <f t="shared" si="67"/>
        <v>Maize</v>
      </c>
      <c r="B96" s="139">
        <v>0</v>
      </c>
      <c r="C96" s="139">
        <v>0</v>
      </c>
      <c r="D96" s="139">
        <v>0</v>
      </c>
      <c r="E96" s="139">
        <v>0</v>
      </c>
      <c r="F96" s="139">
        <v>0</v>
      </c>
      <c r="G96" s="139">
        <v>0</v>
      </c>
      <c r="H96" s="139">
        <v>0</v>
      </c>
    </row>
    <row r="97" spans="1:8" ht="15.75" customHeight="1">
      <c r="A97" s="139" t="str">
        <f t="shared" si="67"/>
        <v>Black Gram/Udid</v>
      </c>
      <c r="B97" s="139">
        <v>0</v>
      </c>
      <c r="C97" s="139">
        <v>0</v>
      </c>
      <c r="D97" s="139">
        <v>0</v>
      </c>
      <c r="E97" s="139">
        <v>0</v>
      </c>
      <c r="F97" s="139">
        <v>0</v>
      </c>
      <c r="G97" s="139">
        <v>0</v>
      </c>
      <c r="H97" s="139">
        <v>0</v>
      </c>
    </row>
    <row r="98" spans="1:8" ht="15.75" customHeight="1">
      <c r="A98" s="139" t="str">
        <f t="shared" si="67"/>
        <v>Bajra</v>
      </c>
      <c r="B98" s="139">
        <v>0</v>
      </c>
      <c r="C98" s="139">
        <v>0</v>
      </c>
      <c r="D98" s="139">
        <v>0</v>
      </c>
      <c r="E98" s="139">
        <v>0</v>
      </c>
      <c r="F98" s="139">
        <v>0</v>
      </c>
      <c r="G98" s="139">
        <v>0</v>
      </c>
      <c r="H98" s="139">
        <v>0</v>
      </c>
    </row>
    <row r="99" spans="1:8" ht="15.75" customHeight="1">
      <c r="A99" s="139" t="str">
        <f t="shared" si="67"/>
        <v>Jawar</v>
      </c>
      <c r="B99" s="139">
        <v>0</v>
      </c>
      <c r="C99" s="139">
        <v>0</v>
      </c>
      <c r="D99" s="139">
        <v>0</v>
      </c>
      <c r="E99" s="139">
        <v>0</v>
      </c>
      <c r="F99" s="139">
        <v>0</v>
      </c>
      <c r="G99" s="139">
        <v>0</v>
      </c>
      <c r="H99" s="139">
        <v>0</v>
      </c>
    </row>
    <row r="100" spans="1:8" ht="15.75" customHeight="1">
      <c r="A100" s="139" t="str">
        <f t="shared" si="67"/>
        <v>Sunflower</v>
      </c>
      <c r="B100" s="139">
        <v>0</v>
      </c>
      <c r="C100" s="139">
        <v>0</v>
      </c>
      <c r="D100" s="139">
        <v>0</v>
      </c>
      <c r="E100" s="139">
        <v>0</v>
      </c>
      <c r="F100" s="139">
        <v>0</v>
      </c>
      <c r="G100" s="139">
        <v>0</v>
      </c>
      <c r="H100" s="139">
        <v>0</v>
      </c>
    </row>
    <row r="101" spans="1:8" ht="15.75" customHeight="1">
      <c r="A101" s="139" t="str">
        <f t="shared" si="67"/>
        <v>Wheat</v>
      </c>
      <c r="B101" s="139">
        <v>0</v>
      </c>
      <c r="C101" s="139">
        <v>0</v>
      </c>
      <c r="D101" s="139">
        <v>0</v>
      </c>
      <c r="E101" s="139">
        <v>0</v>
      </c>
      <c r="F101" s="139">
        <v>0</v>
      </c>
      <c r="G101" s="139">
        <v>0</v>
      </c>
      <c r="H101" s="139">
        <v>0</v>
      </c>
    </row>
    <row r="102" spans="1:8" ht="15.75" customHeight="1">
      <c r="A102" s="139" t="str">
        <f t="shared" si="67"/>
        <v>Bengal Gram/Channa</v>
      </c>
      <c r="B102" s="139">
        <v>0</v>
      </c>
      <c r="C102" s="139">
        <v>0</v>
      </c>
      <c r="D102" s="139">
        <v>0</v>
      </c>
      <c r="E102" s="139">
        <v>0</v>
      </c>
      <c r="F102" s="139">
        <v>0</v>
      </c>
      <c r="G102" s="139">
        <v>0</v>
      </c>
      <c r="H102" s="139">
        <v>0</v>
      </c>
    </row>
    <row r="103" spans="1:8" ht="15.75" customHeight="1">
      <c r="A103" s="139" t="str">
        <f t="shared" si="67"/>
        <v>Jawar</v>
      </c>
      <c r="B103" s="139">
        <v>0</v>
      </c>
      <c r="C103" s="139">
        <v>0</v>
      </c>
      <c r="D103" s="139">
        <v>0</v>
      </c>
      <c r="E103" s="139">
        <v>0</v>
      </c>
      <c r="F103" s="139">
        <v>0</v>
      </c>
      <c r="G103" s="139">
        <v>0</v>
      </c>
      <c r="H103" s="139">
        <v>0</v>
      </c>
    </row>
    <row r="104" spans="1:8" ht="15.75" customHeight="1">
      <c r="A104" s="139" t="str">
        <f t="shared" si="67"/>
        <v>Maize</v>
      </c>
      <c r="B104" s="139">
        <v>0</v>
      </c>
      <c r="C104" s="139">
        <v>0</v>
      </c>
      <c r="D104" s="139">
        <v>0</v>
      </c>
      <c r="E104" s="139">
        <v>0</v>
      </c>
      <c r="F104" s="139">
        <v>0</v>
      </c>
      <c r="G104" s="139">
        <v>0</v>
      </c>
      <c r="H104" s="139">
        <v>0</v>
      </c>
    </row>
    <row r="105" spans="1:8" ht="15.75" customHeight="1">
      <c r="A105" s="139" t="str">
        <f t="shared" si="67"/>
        <v>Safflower</v>
      </c>
      <c r="B105" s="139">
        <v>0</v>
      </c>
      <c r="C105" s="139">
        <v>0</v>
      </c>
      <c r="D105" s="139">
        <v>0</v>
      </c>
      <c r="E105" s="139">
        <v>0</v>
      </c>
      <c r="F105" s="139">
        <v>0</v>
      </c>
      <c r="G105" s="139">
        <v>0</v>
      </c>
      <c r="H105" s="139">
        <v>0</v>
      </c>
    </row>
    <row r="106" spans="1:8" ht="15.75" customHeight="1">
      <c r="A106" s="139">
        <f t="shared" si="67"/>
        <v>0</v>
      </c>
      <c r="B106" s="139">
        <v>0</v>
      </c>
      <c r="C106" s="139">
        <v>0</v>
      </c>
      <c r="D106" s="139">
        <v>0</v>
      </c>
      <c r="E106" s="139">
        <v>0</v>
      </c>
      <c r="F106" s="139">
        <v>0</v>
      </c>
      <c r="G106" s="139">
        <v>0</v>
      </c>
      <c r="H106" s="139">
        <v>0</v>
      </c>
    </row>
    <row r="107" spans="1:8" ht="15.75" customHeight="1">
      <c r="A107" s="139">
        <f t="shared" si="67"/>
        <v>0</v>
      </c>
      <c r="B107" s="139">
        <v>0</v>
      </c>
      <c r="C107" s="139">
        <v>0</v>
      </c>
      <c r="D107" s="139">
        <v>0</v>
      </c>
      <c r="E107" s="139">
        <v>0</v>
      </c>
      <c r="F107" s="139">
        <v>0</v>
      </c>
      <c r="G107" s="139">
        <v>0</v>
      </c>
      <c r="H107" s="139">
        <v>0</v>
      </c>
    </row>
    <row r="108" spans="1:8" ht="15.75" customHeight="1">
      <c r="A108" s="139">
        <f t="shared" si="67"/>
        <v>0</v>
      </c>
      <c r="B108" s="139">
        <v>0</v>
      </c>
      <c r="C108" s="139">
        <v>0</v>
      </c>
      <c r="D108" s="139">
        <v>0</v>
      </c>
      <c r="E108" s="139">
        <v>0</v>
      </c>
      <c r="F108" s="139">
        <v>0</v>
      </c>
      <c r="G108" s="139">
        <v>0</v>
      </c>
      <c r="H108" s="139">
        <v>0</v>
      </c>
    </row>
    <row r="109" spans="1:8" ht="15.75" customHeight="1">
      <c r="A109" s="139" t="str">
        <f t="shared" si="67"/>
        <v>Groundnut</v>
      </c>
      <c r="B109" s="139">
        <v>0</v>
      </c>
      <c r="C109" s="139">
        <v>0</v>
      </c>
      <c r="D109" s="139">
        <v>0</v>
      </c>
      <c r="E109" s="139">
        <v>0</v>
      </c>
      <c r="F109" s="139">
        <v>0</v>
      </c>
      <c r="G109" s="139">
        <v>0</v>
      </c>
      <c r="H109" s="139">
        <v>0</v>
      </c>
    </row>
    <row r="110" spans="1:8" ht="15.75" customHeight="1">
      <c r="A110" s="139">
        <f t="shared" si="67"/>
        <v>0</v>
      </c>
      <c r="B110" s="139">
        <v>0</v>
      </c>
      <c r="C110" s="139">
        <v>0</v>
      </c>
      <c r="D110" s="139">
        <v>0</v>
      </c>
      <c r="E110" s="139">
        <v>0</v>
      </c>
      <c r="F110" s="139">
        <v>0</v>
      </c>
      <c r="G110" s="139">
        <v>0</v>
      </c>
      <c r="H110" s="139">
        <v>0</v>
      </c>
    </row>
    <row r="111" spans="1:8" ht="15.75" customHeight="1">
      <c r="A111" s="139">
        <f t="shared" si="67"/>
        <v>0</v>
      </c>
      <c r="B111" s="139">
        <v>0</v>
      </c>
      <c r="C111" s="139">
        <v>0</v>
      </c>
      <c r="D111" s="139">
        <v>0</v>
      </c>
      <c r="E111" s="139">
        <v>0</v>
      </c>
      <c r="F111" s="139">
        <v>0</v>
      </c>
      <c r="G111" s="139">
        <v>0</v>
      </c>
      <c r="H111" s="139">
        <v>0</v>
      </c>
    </row>
    <row r="112" spans="1:8" ht="15.75" customHeight="1">
      <c r="A112" s="139">
        <f t="shared" si="67"/>
        <v>0</v>
      </c>
      <c r="B112" s="139">
        <v>0</v>
      </c>
      <c r="C112" s="139">
        <v>0</v>
      </c>
      <c r="D112" s="139">
        <v>0</v>
      </c>
      <c r="E112" s="139">
        <v>0</v>
      </c>
      <c r="F112" s="139">
        <v>0</v>
      </c>
      <c r="G112" s="139">
        <v>0</v>
      </c>
      <c r="H112" s="139">
        <v>0</v>
      </c>
    </row>
    <row r="113" spans="1:9" ht="15.75" customHeight="1">
      <c r="A113" s="139"/>
      <c r="B113" s="139">
        <v>0</v>
      </c>
      <c r="C113" s="139">
        <v>0</v>
      </c>
      <c r="D113" s="139">
        <v>0</v>
      </c>
      <c r="E113" s="139">
        <v>0</v>
      </c>
      <c r="F113" s="139">
        <v>0</v>
      </c>
      <c r="G113" s="139">
        <v>0</v>
      </c>
      <c r="H113" s="139">
        <v>0</v>
      </c>
    </row>
    <row r="114" spans="1:9" ht="15.75" customHeight="1"/>
    <row r="115" spans="1:9" ht="15.75" customHeight="1">
      <c r="C115" s="158"/>
      <c r="D115" s="213"/>
      <c r="E115" s="213"/>
      <c r="F115" s="213"/>
      <c r="G115" s="213"/>
      <c r="H115" s="213"/>
      <c r="I115" s="213"/>
    </row>
    <row r="116" spans="1:9" ht="15.75" customHeight="1">
      <c r="A116" t="s">
        <v>528</v>
      </c>
      <c r="C116" s="48"/>
      <c r="D116" s="48"/>
      <c r="E116" s="48"/>
      <c r="F116" s="48"/>
      <c r="G116" s="48"/>
      <c r="H116" s="48"/>
      <c r="I116" s="48"/>
    </row>
    <row r="117" spans="1:9" ht="15.75" customHeight="1">
      <c r="A117">
        <v>1</v>
      </c>
      <c r="B117" t="s">
        <v>719</v>
      </c>
    </row>
    <row r="118" spans="1:9" ht="15.75" customHeight="1">
      <c r="A118">
        <v>2</v>
      </c>
      <c r="B118" t="s">
        <v>529</v>
      </c>
    </row>
    <row r="119" spans="1:9" ht="15.75" customHeight="1"/>
  </sheetData>
  <mergeCells count="12">
    <mergeCell ref="A40:A41"/>
    <mergeCell ref="A64:H64"/>
    <mergeCell ref="A90:A91"/>
    <mergeCell ref="A89:H89"/>
    <mergeCell ref="A1:H1"/>
    <mergeCell ref="A3:B3"/>
    <mergeCell ref="A11:H11"/>
    <mergeCell ref="A37:H37"/>
    <mergeCell ref="A14:A22"/>
    <mergeCell ref="A39:H39"/>
    <mergeCell ref="A65:A66"/>
    <mergeCell ref="A24:A31"/>
  </mergeCells>
  <pageMargins left="0.7" right="0.7" top="0.75" bottom="0.75" header="0" footer="0"/>
  <pageSetup scale="63" orientation="landscape" r:id="rId1"/>
  <rowBreaks count="2" manualBreakCount="2">
    <brk id="38" max="7" man="1"/>
    <brk id="88" max="7" man="1"/>
  </rowBreaks>
</worksheet>
</file>

<file path=xl/worksheets/sheet12.xml><?xml version="1.0" encoding="utf-8"?>
<worksheet xmlns="http://schemas.openxmlformats.org/spreadsheetml/2006/main" xmlns:r="http://schemas.openxmlformats.org/officeDocument/2006/relationships">
  <dimension ref="A1:Z132"/>
  <sheetViews>
    <sheetView view="pageBreakPreview" topLeftCell="G1" zoomScale="95" zoomScaleSheetLayoutView="95" workbookViewId="0">
      <selection activeCell="O10" sqref="O10"/>
    </sheetView>
  </sheetViews>
  <sheetFormatPr defaultColWidth="14.42578125" defaultRowHeight="15" customHeight="1"/>
  <cols>
    <col min="1" max="1" width="44.28515625" customWidth="1"/>
    <col min="2" max="2" width="23.28515625" customWidth="1"/>
    <col min="3" max="3" width="11.5703125" customWidth="1"/>
    <col min="4" max="4" width="14.140625" customWidth="1"/>
    <col min="5" max="5" width="10.85546875" customWidth="1"/>
    <col min="6" max="6" width="12.42578125" customWidth="1"/>
    <col min="7" max="7" width="12.85546875" customWidth="1"/>
    <col min="8" max="8" width="12" customWidth="1"/>
    <col min="9" max="9" width="11.42578125" customWidth="1"/>
    <col min="10" max="10" width="9.140625" customWidth="1"/>
    <col min="11" max="26" width="8.7109375" customWidth="1"/>
  </cols>
  <sheetData>
    <row r="1" spans="1:26" ht="18.75">
      <c r="A1" s="340" t="s">
        <v>531</v>
      </c>
      <c r="B1" s="324"/>
      <c r="C1" s="324"/>
      <c r="D1" s="324"/>
      <c r="E1" s="324"/>
      <c r="F1" s="324"/>
      <c r="G1" s="324"/>
      <c r="H1" s="324"/>
    </row>
    <row r="2" spans="1:26">
      <c r="B2" s="158"/>
    </row>
    <row r="3" spans="1:26" ht="18.75">
      <c r="A3" s="387" t="s">
        <v>532</v>
      </c>
      <c r="B3" s="326"/>
    </row>
    <row r="4" spans="1:26">
      <c r="A4" s="243" t="s">
        <v>142</v>
      </c>
      <c r="B4" s="244" t="s">
        <v>153</v>
      </c>
      <c r="C4" s="245"/>
      <c r="D4" s="245"/>
      <c r="E4" s="245"/>
      <c r="F4" s="245"/>
      <c r="G4" s="245"/>
      <c r="H4" s="245"/>
    </row>
    <row r="5" spans="1:26">
      <c r="A5" s="139" t="s">
        <v>533</v>
      </c>
      <c r="B5" s="246">
        <v>0</v>
      </c>
      <c r="D5" s="247"/>
      <c r="E5" s="247"/>
      <c r="F5" s="247"/>
      <c r="G5" s="247"/>
      <c r="H5" s="247"/>
    </row>
    <row r="6" spans="1:26">
      <c r="A6" s="139" t="s">
        <v>534</v>
      </c>
      <c r="B6" s="246">
        <v>0</v>
      </c>
      <c r="D6" s="247"/>
      <c r="E6" s="247"/>
      <c r="F6" s="247"/>
      <c r="G6" s="247"/>
      <c r="H6" s="247"/>
    </row>
    <row r="7" spans="1:26">
      <c r="A7" s="248" t="s">
        <v>82</v>
      </c>
      <c r="B7" s="248">
        <f>B5+B6</f>
        <v>0</v>
      </c>
      <c r="C7" s="163"/>
      <c r="D7" s="249"/>
      <c r="E7" s="249"/>
      <c r="F7" s="249"/>
      <c r="G7" s="249"/>
      <c r="H7" s="249"/>
    </row>
    <row r="8" spans="1:26">
      <c r="A8" s="248" t="s">
        <v>535</v>
      </c>
      <c r="B8" s="250">
        <v>0</v>
      </c>
      <c r="C8" s="163"/>
      <c r="D8" s="163"/>
      <c r="E8" s="163"/>
      <c r="F8" s="163"/>
      <c r="G8" s="163"/>
      <c r="H8" s="163"/>
    </row>
    <row r="9" spans="1:26">
      <c r="A9" s="248" t="s">
        <v>536</v>
      </c>
      <c r="B9" s="248">
        <f>B7*B8</f>
        <v>0</v>
      </c>
      <c r="C9" s="249"/>
      <c r="D9" s="249"/>
      <c r="E9" s="249"/>
      <c r="F9" s="249"/>
      <c r="G9" s="249"/>
      <c r="H9" s="249"/>
    </row>
    <row r="10" spans="1:26">
      <c r="J10" t="s">
        <v>495</v>
      </c>
      <c r="O10" t="s">
        <v>315</v>
      </c>
      <c r="U10" t="s">
        <v>15</v>
      </c>
      <c r="Y10" t="s">
        <v>496</v>
      </c>
      <c r="Z10" t="s">
        <v>497</v>
      </c>
    </row>
    <row r="11" spans="1:26" ht="18.75">
      <c r="A11" s="340" t="s">
        <v>537</v>
      </c>
      <c r="B11" s="324"/>
      <c r="C11" s="324"/>
      <c r="D11" s="324"/>
      <c r="E11" s="324"/>
      <c r="F11" s="324"/>
      <c r="G11" s="324"/>
      <c r="H11" s="324"/>
      <c r="I11" s="163"/>
      <c r="J11" s="163"/>
      <c r="K11" s="163"/>
      <c r="L11" s="163"/>
      <c r="M11" s="163"/>
      <c r="N11" s="163"/>
      <c r="O11" s="163"/>
      <c r="P11" s="163"/>
    </row>
    <row r="12" spans="1:26">
      <c r="J12" s="158">
        <v>0.65</v>
      </c>
      <c r="K12" s="251">
        <f t="shared" ref="K12:N12" si="0">J12+0.05</f>
        <v>0.70000000000000007</v>
      </c>
      <c r="L12" s="251">
        <f t="shared" si="0"/>
        <v>0.75000000000000011</v>
      </c>
      <c r="M12" s="251">
        <f t="shared" si="0"/>
        <v>0.80000000000000016</v>
      </c>
      <c r="N12" s="251">
        <f t="shared" si="0"/>
        <v>0.8500000000000002</v>
      </c>
      <c r="O12" s="158">
        <v>0.4</v>
      </c>
      <c r="P12" s="158">
        <f t="shared" ref="P12:T12" si="1">O12+0.05</f>
        <v>0.45</v>
      </c>
      <c r="Q12" s="158">
        <f t="shared" si="1"/>
        <v>0.5</v>
      </c>
      <c r="R12" s="158">
        <f t="shared" si="1"/>
        <v>0.55000000000000004</v>
      </c>
      <c r="S12" s="158">
        <f t="shared" si="1"/>
        <v>0.60000000000000009</v>
      </c>
      <c r="T12" s="158">
        <f t="shared" si="1"/>
        <v>0.65000000000000013</v>
      </c>
      <c r="U12" s="158">
        <v>0.1</v>
      </c>
      <c r="V12" s="213">
        <f t="shared" ref="V12:X12" si="2">U12+0.05</f>
        <v>0.15000000000000002</v>
      </c>
      <c r="W12" s="213">
        <f t="shared" si="2"/>
        <v>0.2</v>
      </c>
      <c r="X12" s="213">
        <f t="shared" si="2"/>
        <v>0.25</v>
      </c>
    </row>
    <row r="13" spans="1:26" s="295" customFormat="1" ht="60.75" customHeight="1">
      <c r="A13" s="293" t="s">
        <v>499</v>
      </c>
      <c r="B13" s="293" t="s">
        <v>500</v>
      </c>
      <c r="C13" s="294" t="s">
        <v>501</v>
      </c>
      <c r="D13" s="294" t="s">
        <v>502</v>
      </c>
      <c r="E13" s="294" t="s">
        <v>503</v>
      </c>
      <c r="F13" s="294" t="s">
        <v>504</v>
      </c>
      <c r="G13" s="294" t="s">
        <v>505</v>
      </c>
      <c r="H13" s="294" t="s">
        <v>506</v>
      </c>
      <c r="O13" s="296" t="s">
        <v>145</v>
      </c>
      <c r="P13" s="296" t="s">
        <v>146</v>
      </c>
      <c r="Q13" s="296" t="s">
        <v>147</v>
      </c>
      <c r="R13" s="296" t="s">
        <v>148</v>
      </c>
      <c r="S13" s="296" t="s">
        <v>149</v>
      </c>
      <c r="T13" s="296" t="s">
        <v>145</v>
      </c>
      <c r="U13" s="296" t="s">
        <v>146</v>
      </c>
      <c r="V13" s="296" t="s">
        <v>147</v>
      </c>
      <c r="W13" s="296" t="s">
        <v>148</v>
      </c>
      <c r="X13" s="296" t="s">
        <v>149</v>
      </c>
    </row>
    <row r="14" spans="1:26">
      <c r="A14" s="389" t="s">
        <v>507</v>
      </c>
      <c r="B14" s="246" t="s">
        <v>538</v>
      </c>
      <c r="C14" s="252">
        <v>0</v>
      </c>
      <c r="D14" s="139">
        <f t="shared" ref="D14:D22" si="3">$B$9*C14</f>
        <v>0</v>
      </c>
      <c r="E14" s="253">
        <v>15</v>
      </c>
      <c r="F14" s="139">
        <f t="shared" ref="F14:F22" si="4">D14*E14</f>
        <v>0</v>
      </c>
      <c r="G14" s="254">
        <v>0.1</v>
      </c>
      <c r="H14" s="139">
        <f t="shared" ref="H14:H22" si="5">(F14-F14*G14)</f>
        <v>0</v>
      </c>
      <c r="J14">
        <f t="shared" ref="J14:N14" si="6">$D$14*J12</f>
        <v>0</v>
      </c>
      <c r="K14">
        <f t="shared" si="6"/>
        <v>0</v>
      </c>
      <c r="L14">
        <f t="shared" si="6"/>
        <v>0</v>
      </c>
      <c r="M14">
        <f t="shared" si="6"/>
        <v>0</v>
      </c>
      <c r="N14">
        <f t="shared" si="6"/>
        <v>0</v>
      </c>
    </row>
    <row r="15" spans="1:26">
      <c r="A15" s="333"/>
      <c r="B15" s="246" t="s">
        <v>539</v>
      </c>
      <c r="C15" s="252">
        <v>0</v>
      </c>
      <c r="D15" s="139">
        <f t="shared" si="3"/>
        <v>0</v>
      </c>
      <c r="E15" s="253">
        <v>7</v>
      </c>
      <c r="F15" s="139">
        <f t="shared" si="4"/>
        <v>0</v>
      </c>
      <c r="G15" s="254">
        <v>0.05</v>
      </c>
      <c r="H15" s="139">
        <f t="shared" si="5"/>
        <v>0</v>
      </c>
    </row>
    <row r="16" spans="1:26">
      <c r="A16" s="333"/>
      <c r="B16" s="246" t="s">
        <v>540</v>
      </c>
      <c r="C16" s="252">
        <v>0</v>
      </c>
      <c r="D16" s="139">
        <f t="shared" si="3"/>
        <v>0</v>
      </c>
      <c r="E16" s="253">
        <v>4</v>
      </c>
      <c r="F16" s="139">
        <f t="shared" si="4"/>
        <v>0</v>
      </c>
      <c r="G16" s="254">
        <v>0</v>
      </c>
      <c r="H16" s="139">
        <f t="shared" si="5"/>
        <v>0</v>
      </c>
    </row>
    <row r="17" spans="1:8">
      <c r="A17" s="333"/>
      <c r="B17" s="246" t="s">
        <v>541</v>
      </c>
      <c r="C17" s="252">
        <v>0</v>
      </c>
      <c r="D17" s="139">
        <f t="shared" si="3"/>
        <v>0</v>
      </c>
      <c r="E17" s="253">
        <v>7</v>
      </c>
      <c r="F17" s="139">
        <f t="shared" si="4"/>
        <v>0</v>
      </c>
      <c r="G17" s="254">
        <v>0.02</v>
      </c>
      <c r="H17" s="139">
        <f t="shared" si="5"/>
        <v>0</v>
      </c>
    </row>
    <row r="18" spans="1:8">
      <c r="A18" s="333"/>
      <c r="B18" s="246" t="s">
        <v>542</v>
      </c>
      <c r="C18" s="252">
        <v>0</v>
      </c>
      <c r="D18" s="139">
        <f t="shared" si="3"/>
        <v>0</v>
      </c>
      <c r="E18" s="253">
        <v>20</v>
      </c>
      <c r="F18" s="139">
        <f t="shared" si="4"/>
        <v>0</v>
      </c>
      <c r="G18" s="254">
        <v>0</v>
      </c>
      <c r="H18" s="139">
        <f t="shared" si="5"/>
        <v>0</v>
      </c>
    </row>
    <row r="19" spans="1:8">
      <c r="A19" s="333"/>
      <c r="B19" s="246"/>
      <c r="C19" s="252">
        <v>0</v>
      </c>
      <c r="D19" s="139">
        <f t="shared" si="3"/>
        <v>0</v>
      </c>
      <c r="E19" s="253">
        <v>7</v>
      </c>
      <c r="F19" s="139">
        <f t="shared" si="4"/>
        <v>0</v>
      </c>
      <c r="G19" s="254">
        <v>0.1</v>
      </c>
      <c r="H19" s="139">
        <f t="shared" si="5"/>
        <v>0</v>
      </c>
    </row>
    <row r="20" spans="1:8">
      <c r="A20" s="333"/>
      <c r="B20" s="246"/>
      <c r="C20" s="252">
        <v>0</v>
      </c>
      <c r="D20" s="139">
        <f t="shared" si="3"/>
        <v>0</v>
      </c>
      <c r="E20" s="253">
        <v>6</v>
      </c>
      <c r="F20" s="139">
        <f t="shared" si="4"/>
        <v>0</v>
      </c>
      <c r="G20" s="254">
        <v>0.02</v>
      </c>
      <c r="H20" s="139">
        <f t="shared" si="5"/>
        <v>0</v>
      </c>
    </row>
    <row r="21" spans="1:8" ht="15.75" customHeight="1">
      <c r="A21" s="333"/>
      <c r="B21" s="246"/>
      <c r="C21" s="252">
        <v>0</v>
      </c>
      <c r="D21" s="139">
        <f t="shared" si="3"/>
        <v>0</v>
      </c>
      <c r="E21" s="253"/>
      <c r="F21" s="139">
        <f t="shared" si="4"/>
        <v>0</v>
      </c>
      <c r="G21" s="254">
        <v>0</v>
      </c>
      <c r="H21" s="139">
        <f t="shared" si="5"/>
        <v>0</v>
      </c>
    </row>
    <row r="22" spans="1:8" ht="15.75" customHeight="1">
      <c r="A22" s="334"/>
      <c r="B22" s="246"/>
      <c r="C22" s="252">
        <v>0</v>
      </c>
      <c r="D22" s="139">
        <f t="shared" si="3"/>
        <v>0</v>
      </c>
      <c r="E22" s="253"/>
      <c r="F22" s="139">
        <f t="shared" si="4"/>
        <v>0</v>
      </c>
      <c r="G22" s="254">
        <v>0</v>
      </c>
      <c r="H22" s="139">
        <f t="shared" si="5"/>
        <v>0</v>
      </c>
    </row>
    <row r="23" spans="1:8" ht="15.75" customHeight="1">
      <c r="A23" s="262" t="s">
        <v>543</v>
      </c>
      <c r="B23" s="252"/>
      <c r="C23" s="246">
        <f>B9*B23</f>
        <v>0</v>
      </c>
      <c r="D23" s="139"/>
      <c r="E23" s="253"/>
      <c r="F23" s="139"/>
      <c r="G23" s="254"/>
      <c r="H23" s="139"/>
    </row>
    <row r="24" spans="1:8" ht="15.75" customHeight="1">
      <c r="A24" s="389" t="s">
        <v>518</v>
      </c>
      <c r="B24" s="246" t="s">
        <v>538</v>
      </c>
      <c r="C24" s="252">
        <v>0</v>
      </c>
      <c r="D24" s="139">
        <f t="shared" ref="D24:D31" si="7">C$23*C24</f>
        <v>0</v>
      </c>
      <c r="E24" s="253">
        <v>10</v>
      </c>
      <c r="F24" s="139">
        <f t="shared" ref="F24:F31" si="8">D24*E24</f>
        <v>0</v>
      </c>
      <c r="G24" s="254">
        <v>0.1</v>
      </c>
      <c r="H24" s="139">
        <f t="shared" ref="H24:H31" si="9">(F24-F24*G24)</f>
        <v>0</v>
      </c>
    </row>
    <row r="25" spans="1:8" ht="15.75" customHeight="1">
      <c r="A25" s="333"/>
      <c r="B25" s="246" t="s">
        <v>539</v>
      </c>
      <c r="C25" s="252">
        <v>0</v>
      </c>
      <c r="D25" s="139">
        <f t="shared" si="7"/>
        <v>0</v>
      </c>
      <c r="E25" s="253">
        <v>10</v>
      </c>
      <c r="F25" s="139">
        <f t="shared" si="8"/>
        <v>0</v>
      </c>
      <c r="G25" s="254">
        <v>0.1</v>
      </c>
      <c r="H25" s="139">
        <f t="shared" si="9"/>
        <v>0</v>
      </c>
    </row>
    <row r="26" spans="1:8" ht="15.75" customHeight="1">
      <c r="A26" s="333"/>
      <c r="B26" s="246" t="s">
        <v>540</v>
      </c>
      <c r="C26" s="252">
        <v>0</v>
      </c>
      <c r="D26" s="139">
        <f t="shared" si="7"/>
        <v>0</v>
      </c>
      <c r="E26" s="253">
        <v>10</v>
      </c>
      <c r="F26" s="139">
        <f t="shared" si="8"/>
        <v>0</v>
      </c>
      <c r="G26" s="254">
        <v>0.05</v>
      </c>
      <c r="H26" s="139">
        <f t="shared" si="9"/>
        <v>0</v>
      </c>
    </row>
    <row r="27" spans="1:8" ht="15.75" customHeight="1">
      <c r="A27" s="333"/>
      <c r="B27" s="246" t="s">
        <v>541</v>
      </c>
      <c r="C27" s="252">
        <v>0</v>
      </c>
      <c r="D27" s="139">
        <f t="shared" si="7"/>
        <v>0</v>
      </c>
      <c r="E27" s="253">
        <v>20</v>
      </c>
      <c r="F27" s="139">
        <f t="shared" si="8"/>
        <v>0</v>
      </c>
      <c r="G27" s="254">
        <v>0</v>
      </c>
      <c r="H27" s="139">
        <f t="shared" si="9"/>
        <v>0</v>
      </c>
    </row>
    <row r="28" spans="1:8" ht="15.75" customHeight="1">
      <c r="A28" s="333"/>
      <c r="B28" s="246" t="s">
        <v>544</v>
      </c>
      <c r="C28" s="252">
        <v>0</v>
      </c>
      <c r="D28" s="139">
        <f t="shared" si="7"/>
        <v>0</v>
      </c>
      <c r="E28" s="253"/>
      <c r="F28" s="139">
        <f t="shared" si="8"/>
        <v>0</v>
      </c>
      <c r="G28" s="254">
        <v>0</v>
      </c>
      <c r="H28" s="139">
        <f t="shared" si="9"/>
        <v>0</v>
      </c>
    </row>
    <row r="29" spans="1:8" ht="15.75" customHeight="1">
      <c r="A29" s="333"/>
      <c r="B29" s="246"/>
      <c r="C29" s="252">
        <v>0</v>
      </c>
      <c r="D29" s="139">
        <f t="shared" si="7"/>
        <v>0</v>
      </c>
      <c r="E29" s="253"/>
      <c r="F29" s="139">
        <f t="shared" si="8"/>
        <v>0</v>
      </c>
      <c r="G29" s="254">
        <v>0</v>
      </c>
      <c r="H29" s="139">
        <f t="shared" si="9"/>
        <v>0</v>
      </c>
    </row>
    <row r="30" spans="1:8" ht="15.75" customHeight="1">
      <c r="A30" s="333"/>
      <c r="B30" s="246"/>
      <c r="C30" s="252">
        <v>0</v>
      </c>
      <c r="D30" s="139">
        <f t="shared" si="7"/>
        <v>0</v>
      </c>
      <c r="E30" s="253"/>
      <c r="F30" s="139">
        <f t="shared" si="8"/>
        <v>0</v>
      </c>
      <c r="G30" s="254">
        <v>0</v>
      </c>
      <c r="H30" s="139">
        <f t="shared" si="9"/>
        <v>0</v>
      </c>
    </row>
    <row r="31" spans="1:8" ht="15.75" customHeight="1">
      <c r="A31" s="334"/>
      <c r="B31" s="246"/>
      <c r="C31" s="252">
        <v>0</v>
      </c>
      <c r="D31" s="139">
        <f t="shared" si="7"/>
        <v>0</v>
      </c>
      <c r="E31" s="253"/>
      <c r="F31" s="139">
        <f t="shared" si="8"/>
        <v>0</v>
      </c>
      <c r="G31" s="254">
        <v>0</v>
      </c>
      <c r="H31" s="139">
        <f t="shared" si="9"/>
        <v>0</v>
      </c>
    </row>
    <row r="32" spans="1:8" ht="15.75" customHeight="1">
      <c r="A32" s="262" t="s">
        <v>545</v>
      </c>
      <c r="B32" s="252"/>
      <c r="C32" s="246">
        <f>B9*B32</f>
        <v>0</v>
      </c>
      <c r="D32" s="139"/>
      <c r="E32" s="253"/>
      <c r="F32" s="139"/>
      <c r="G32" s="254"/>
      <c r="H32" s="139"/>
    </row>
    <row r="33" spans="1:8" ht="15.75" customHeight="1">
      <c r="A33" s="256" t="s">
        <v>523</v>
      </c>
      <c r="B33" s="246"/>
      <c r="C33" s="252">
        <v>0</v>
      </c>
      <c r="D33" s="139">
        <f t="shared" ref="D33:D36" si="10">C$32*C33</f>
        <v>0</v>
      </c>
      <c r="E33" s="253"/>
      <c r="F33" s="139">
        <f t="shared" ref="F33:F40" si="11">D33*E33</f>
        <v>0</v>
      </c>
      <c r="G33" s="254">
        <v>0</v>
      </c>
      <c r="H33" s="139">
        <f t="shared" ref="H33:H40" si="12">(F33-F33*G33)</f>
        <v>0</v>
      </c>
    </row>
    <row r="34" spans="1:8" ht="15.75" customHeight="1">
      <c r="A34" s="8"/>
      <c r="B34" s="246"/>
      <c r="C34" s="252">
        <v>0</v>
      </c>
      <c r="D34" s="139">
        <f t="shared" si="10"/>
        <v>0</v>
      </c>
      <c r="E34" s="253"/>
      <c r="F34" s="139">
        <f t="shared" si="11"/>
        <v>0</v>
      </c>
      <c r="G34" s="254">
        <v>0</v>
      </c>
      <c r="H34" s="139">
        <f t="shared" si="12"/>
        <v>0</v>
      </c>
    </row>
    <row r="35" spans="1:8" ht="15.75" customHeight="1">
      <c r="A35" s="8"/>
      <c r="B35" s="246"/>
      <c r="C35" s="252">
        <v>0</v>
      </c>
      <c r="D35" s="139">
        <f t="shared" si="10"/>
        <v>0</v>
      </c>
      <c r="E35" s="253"/>
      <c r="F35" s="139">
        <f t="shared" si="11"/>
        <v>0</v>
      </c>
      <c r="G35" s="254">
        <v>0</v>
      </c>
      <c r="H35" s="139">
        <f t="shared" si="12"/>
        <v>0</v>
      </c>
    </row>
    <row r="36" spans="1:8" ht="15.75" customHeight="1">
      <c r="A36" s="257"/>
      <c r="B36" s="246"/>
      <c r="C36" s="252">
        <v>0</v>
      </c>
      <c r="D36" s="139">
        <f t="shared" si="10"/>
        <v>0</v>
      </c>
      <c r="E36" s="253"/>
      <c r="F36" s="139">
        <f t="shared" si="11"/>
        <v>0</v>
      </c>
      <c r="G36" s="254">
        <v>0</v>
      </c>
      <c r="H36" s="139">
        <f t="shared" si="12"/>
        <v>0</v>
      </c>
    </row>
    <row r="37" spans="1:8" ht="15.75" customHeight="1">
      <c r="A37" s="392" t="s">
        <v>546</v>
      </c>
      <c r="B37" s="246" t="s">
        <v>320</v>
      </c>
      <c r="C37" s="252">
        <v>0</v>
      </c>
      <c r="D37" s="139">
        <f t="shared" ref="D37:D40" si="13">$B$9*C37</f>
        <v>0</v>
      </c>
      <c r="E37" s="253">
        <v>6</v>
      </c>
      <c r="F37" s="139">
        <f t="shared" si="11"/>
        <v>0</v>
      </c>
      <c r="G37" s="254">
        <v>0.05</v>
      </c>
      <c r="H37" s="139">
        <f t="shared" si="12"/>
        <v>0</v>
      </c>
    </row>
    <row r="38" spans="1:8" ht="15.75" customHeight="1">
      <c r="A38" s="333"/>
      <c r="B38" s="246" t="s">
        <v>547</v>
      </c>
      <c r="C38" s="252">
        <v>0</v>
      </c>
      <c r="D38" s="139">
        <f t="shared" si="13"/>
        <v>0</v>
      </c>
      <c r="E38" s="253"/>
      <c r="F38" s="139">
        <f t="shared" si="11"/>
        <v>0</v>
      </c>
      <c r="G38" s="254">
        <v>0</v>
      </c>
      <c r="H38" s="139">
        <f t="shared" si="12"/>
        <v>0</v>
      </c>
    </row>
    <row r="39" spans="1:8" ht="15.75" customHeight="1">
      <c r="A39" s="333"/>
      <c r="B39" s="246" t="s">
        <v>548</v>
      </c>
      <c r="C39" s="252">
        <v>0</v>
      </c>
      <c r="D39" s="139">
        <f t="shared" si="13"/>
        <v>0</v>
      </c>
      <c r="E39" s="253"/>
      <c r="F39" s="139">
        <f t="shared" si="11"/>
        <v>0</v>
      </c>
      <c r="G39" s="254">
        <v>0</v>
      </c>
      <c r="H39" s="139">
        <f t="shared" si="12"/>
        <v>0</v>
      </c>
    </row>
    <row r="40" spans="1:8" ht="15.75" customHeight="1">
      <c r="A40" s="334"/>
      <c r="B40" s="246" t="s">
        <v>549</v>
      </c>
      <c r="C40" s="252">
        <v>0</v>
      </c>
      <c r="D40" s="139">
        <f t="shared" si="13"/>
        <v>0</v>
      </c>
      <c r="E40" s="253"/>
      <c r="F40" s="139">
        <f t="shared" si="11"/>
        <v>0</v>
      </c>
      <c r="G40" s="254">
        <v>0</v>
      </c>
      <c r="H40" s="139">
        <f t="shared" si="12"/>
        <v>0</v>
      </c>
    </row>
    <row r="41" spans="1:8" ht="15.75" customHeight="1">
      <c r="A41" s="388" t="s">
        <v>525</v>
      </c>
      <c r="B41" s="324"/>
      <c r="C41" s="324"/>
      <c r="D41" s="324"/>
      <c r="E41" s="324"/>
      <c r="F41" s="324"/>
      <c r="G41" s="324"/>
      <c r="H41" s="324"/>
    </row>
    <row r="42" spans="1:8" ht="15.75" customHeight="1"/>
    <row r="43" spans="1:8" ht="15.75" customHeight="1">
      <c r="A43" s="390" t="s">
        <v>550</v>
      </c>
      <c r="B43" s="328"/>
      <c r="C43" s="328"/>
      <c r="D43" s="328"/>
      <c r="E43" s="328"/>
      <c r="F43" s="328"/>
      <c r="G43" s="328"/>
      <c r="H43" s="329"/>
    </row>
    <row r="44" spans="1:8" ht="15.75" customHeight="1">
      <c r="A44" s="383" t="s">
        <v>142</v>
      </c>
      <c r="B44" s="258">
        <v>0.35</v>
      </c>
      <c r="C44" s="258">
        <f t="shared" ref="C44:H44" si="14">B44+0.05</f>
        <v>0.39999999999999997</v>
      </c>
      <c r="D44" s="258">
        <f t="shared" si="14"/>
        <v>0.44999999999999996</v>
      </c>
      <c r="E44" s="258">
        <f t="shared" si="14"/>
        <v>0.49999999999999994</v>
      </c>
      <c r="F44" s="258">
        <f t="shared" si="14"/>
        <v>0.54999999999999993</v>
      </c>
      <c r="G44" s="258">
        <f t="shared" si="14"/>
        <v>0.6</v>
      </c>
      <c r="H44" s="258">
        <f t="shared" si="14"/>
        <v>0.65</v>
      </c>
    </row>
    <row r="45" spans="1:8" ht="15.75" customHeight="1">
      <c r="A45" s="334"/>
      <c r="B45" s="244" t="s">
        <v>145</v>
      </c>
      <c r="C45" s="244" t="s">
        <v>146</v>
      </c>
      <c r="D45" s="244" t="s">
        <v>147</v>
      </c>
      <c r="E45" s="244" t="s">
        <v>148</v>
      </c>
      <c r="F45" s="244" t="s">
        <v>149</v>
      </c>
      <c r="G45" s="244" t="s">
        <v>150</v>
      </c>
      <c r="H45" s="244" t="s">
        <v>151</v>
      </c>
    </row>
    <row r="46" spans="1:8" ht="15.75" customHeight="1">
      <c r="A46" s="139" t="str">
        <f t="shared" ref="A46:A54" si="15">B14</f>
        <v>Onion</v>
      </c>
      <c r="B46" s="139">
        <f t="shared" ref="B46:B54" si="16">H14*$B$44</f>
        <v>0</v>
      </c>
      <c r="C46" s="139">
        <f t="shared" ref="C46:H46" si="17">(B46/B$44)*C$44</f>
        <v>0</v>
      </c>
      <c r="D46" s="139">
        <f t="shared" si="17"/>
        <v>0</v>
      </c>
      <c r="E46" s="139">
        <f t="shared" si="17"/>
        <v>0</v>
      </c>
      <c r="F46" s="139">
        <f t="shared" si="17"/>
        <v>0</v>
      </c>
      <c r="G46" s="139">
        <f t="shared" si="17"/>
        <v>0</v>
      </c>
      <c r="H46" s="139">
        <f t="shared" si="17"/>
        <v>0</v>
      </c>
    </row>
    <row r="47" spans="1:8" ht="15.75" customHeight="1">
      <c r="A47" s="139" t="str">
        <f t="shared" si="15"/>
        <v>Tomato</v>
      </c>
      <c r="B47" s="139">
        <f t="shared" si="16"/>
        <v>0</v>
      </c>
      <c r="C47" s="139">
        <f t="shared" ref="C47:H47" si="18">(B47/B$44)*C$44</f>
        <v>0</v>
      </c>
      <c r="D47" s="139">
        <f t="shared" si="18"/>
        <v>0</v>
      </c>
      <c r="E47" s="139">
        <f t="shared" si="18"/>
        <v>0</v>
      </c>
      <c r="F47" s="139">
        <f t="shared" si="18"/>
        <v>0</v>
      </c>
      <c r="G47" s="139">
        <f t="shared" si="18"/>
        <v>0</v>
      </c>
      <c r="H47" s="139">
        <f t="shared" si="18"/>
        <v>0</v>
      </c>
    </row>
    <row r="48" spans="1:8" ht="15.75" customHeight="1">
      <c r="A48" s="139" t="str">
        <f t="shared" si="15"/>
        <v>Okra</v>
      </c>
      <c r="B48" s="139">
        <f t="shared" si="16"/>
        <v>0</v>
      </c>
      <c r="C48" s="139">
        <f t="shared" ref="C48:H48" si="19">(B48/B$44)*C$44</f>
        <v>0</v>
      </c>
      <c r="D48" s="139">
        <f t="shared" si="19"/>
        <v>0</v>
      </c>
      <c r="E48" s="139">
        <f t="shared" si="19"/>
        <v>0</v>
      </c>
      <c r="F48" s="139">
        <f t="shared" si="19"/>
        <v>0</v>
      </c>
      <c r="G48" s="139">
        <f t="shared" si="19"/>
        <v>0</v>
      </c>
      <c r="H48" s="139">
        <f t="shared" si="19"/>
        <v>0</v>
      </c>
    </row>
    <row r="49" spans="1:8" ht="15.75" customHeight="1">
      <c r="A49" s="139" t="str">
        <f t="shared" si="15"/>
        <v>Chilli</v>
      </c>
      <c r="B49" s="139">
        <f t="shared" si="16"/>
        <v>0</v>
      </c>
      <c r="C49" s="139">
        <f t="shared" ref="C49:H49" si="20">(B49/B$44)*C$44</f>
        <v>0</v>
      </c>
      <c r="D49" s="139">
        <f t="shared" si="20"/>
        <v>0</v>
      </c>
      <c r="E49" s="139">
        <f t="shared" si="20"/>
        <v>0</v>
      </c>
      <c r="F49" s="139">
        <f t="shared" si="20"/>
        <v>0</v>
      </c>
      <c r="G49" s="139">
        <f t="shared" si="20"/>
        <v>0</v>
      </c>
      <c r="H49" s="139">
        <f t="shared" si="20"/>
        <v>0</v>
      </c>
    </row>
    <row r="50" spans="1:8" ht="15.75" customHeight="1">
      <c r="A50" s="139" t="str">
        <f t="shared" si="15"/>
        <v>Potato</v>
      </c>
      <c r="B50" s="139">
        <f t="shared" si="16"/>
        <v>0</v>
      </c>
      <c r="C50" s="139">
        <f t="shared" ref="C50:H50" si="21">(B50/B$44)*C$44</f>
        <v>0</v>
      </c>
      <c r="D50" s="139">
        <f t="shared" si="21"/>
        <v>0</v>
      </c>
      <c r="E50" s="139">
        <f t="shared" si="21"/>
        <v>0</v>
      </c>
      <c r="F50" s="139">
        <f t="shared" si="21"/>
        <v>0</v>
      </c>
      <c r="G50" s="139">
        <f t="shared" si="21"/>
        <v>0</v>
      </c>
      <c r="H50" s="139">
        <f t="shared" si="21"/>
        <v>0</v>
      </c>
    </row>
    <row r="51" spans="1:8" ht="15.75" customHeight="1">
      <c r="A51" s="139">
        <f t="shared" si="15"/>
        <v>0</v>
      </c>
      <c r="B51" s="139">
        <f t="shared" si="16"/>
        <v>0</v>
      </c>
      <c r="C51" s="139">
        <f t="shared" ref="C51:H51" si="22">(B51/B$44)*C$44</f>
        <v>0</v>
      </c>
      <c r="D51" s="139">
        <f t="shared" si="22"/>
        <v>0</v>
      </c>
      <c r="E51" s="139">
        <f t="shared" si="22"/>
        <v>0</v>
      </c>
      <c r="F51" s="139">
        <f t="shared" si="22"/>
        <v>0</v>
      </c>
      <c r="G51" s="139">
        <f t="shared" si="22"/>
        <v>0</v>
      </c>
      <c r="H51" s="139">
        <f t="shared" si="22"/>
        <v>0</v>
      </c>
    </row>
    <row r="52" spans="1:8" ht="15.75" customHeight="1">
      <c r="A52" s="139">
        <f t="shared" si="15"/>
        <v>0</v>
      </c>
      <c r="B52" s="139">
        <f t="shared" si="16"/>
        <v>0</v>
      </c>
      <c r="C52" s="139">
        <f t="shared" ref="C52:H52" si="23">(B52/B$44)*C$44</f>
        <v>0</v>
      </c>
      <c r="D52" s="139">
        <f t="shared" si="23"/>
        <v>0</v>
      </c>
      <c r="E52" s="139">
        <f t="shared" si="23"/>
        <v>0</v>
      </c>
      <c r="F52" s="139">
        <f t="shared" si="23"/>
        <v>0</v>
      </c>
      <c r="G52" s="139">
        <f t="shared" si="23"/>
        <v>0</v>
      </c>
      <c r="H52" s="139">
        <f t="shared" si="23"/>
        <v>0</v>
      </c>
    </row>
    <row r="53" spans="1:8" ht="15.75" customHeight="1">
      <c r="A53" s="139">
        <f t="shared" si="15"/>
        <v>0</v>
      </c>
      <c r="B53" s="139">
        <f t="shared" si="16"/>
        <v>0</v>
      </c>
      <c r="C53" s="139">
        <f t="shared" ref="C53:H53" si="24">(B53/B$44)*C$44</f>
        <v>0</v>
      </c>
      <c r="D53" s="139">
        <f t="shared" si="24"/>
        <v>0</v>
      </c>
      <c r="E53" s="139">
        <f t="shared" si="24"/>
        <v>0</v>
      </c>
      <c r="F53" s="139">
        <f t="shared" si="24"/>
        <v>0</v>
      </c>
      <c r="G53" s="139">
        <f t="shared" si="24"/>
        <v>0</v>
      </c>
      <c r="H53" s="139">
        <f t="shared" si="24"/>
        <v>0</v>
      </c>
    </row>
    <row r="54" spans="1:8" ht="15.75" customHeight="1">
      <c r="A54" s="139">
        <f t="shared" si="15"/>
        <v>0</v>
      </c>
      <c r="B54" s="139">
        <f t="shared" si="16"/>
        <v>0</v>
      </c>
      <c r="C54" s="139">
        <f t="shared" ref="C54:H54" si="25">(B54/B$44)*C$44</f>
        <v>0</v>
      </c>
      <c r="D54" s="139">
        <f t="shared" si="25"/>
        <v>0</v>
      </c>
      <c r="E54" s="139">
        <f t="shared" si="25"/>
        <v>0</v>
      </c>
      <c r="F54" s="139">
        <f t="shared" si="25"/>
        <v>0</v>
      </c>
      <c r="G54" s="139">
        <f t="shared" si="25"/>
        <v>0</v>
      </c>
      <c r="H54" s="139">
        <f t="shared" si="25"/>
        <v>0</v>
      </c>
    </row>
    <row r="55" spans="1:8" ht="15.75" customHeight="1">
      <c r="A55" s="139" t="str">
        <f t="shared" ref="A55:A62" si="26">B24</f>
        <v>Onion</v>
      </c>
      <c r="B55" s="139">
        <f t="shared" ref="B55:B62" si="27">H24*$B$44</f>
        <v>0</v>
      </c>
      <c r="C55" s="139">
        <f t="shared" ref="C55:H55" si="28">(B55/B$44)*C$44</f>
        <v>0</v>
      </c>
      <c r="D55" s="139">
        <f t="shared" si="28"/>
        <v>0</v>
      </c>
      <c r="E55" s="139">
        <f t="shared" si="28"/>
        <v>0</v>
      </c>
      <c r="F55" s="139">
        <f t="shared" si="28"/>
        <v>0</v>
      </c>
      <c r="G55" s="139">
        <f t="shared" si="28"/>
        <v>0</v>
      </c>
      <c r="H55" s="139">
        <f t="shared" si="28"/>
        <v>0</v>
      </c>
    </row>
    <row r="56" spans="1:8" ht="15.75" customHeight="1">
      <c r="A56" s="139" t="str">
        <f t="shared" si="26"/>
        <v>Tomato</v>
      </c>
      <c r="B56" s="139">
        <f t="shared" si="27"/>
        <v>0</v>
      </c>
      <c r="C56" s="139">
        <f t="shared" ref="C56:H56" si="29">(B56/B$44)*C$44</f>
        <v>0</v>
      </c>
      <c r="D56" s="139">
        <f t="shared" si="29"/>
        <v>0</v>
      </c>
      <c r="E56" s="139">
        <f t="shared" si="29"/>
        <v>0</v>
      </c>
      <c r="F56" s="139">
        <f t="shared" si="29"/>
        <v>0</v>
      </c>
      <c r="G56" s="139">
        <f t="shared" si="29"/>
        <v>0</v>
      </c>
      <c r="H56" s="139">
        <f t="shared" si="29"/>
        <v>0</v>
      </c>
    </row>
    <row r="57" spans="1:8" ht="15.75" customHeight="1">
      <c r="A57" s="139" t="str">
        <f t="shared" si="26"/>
        <v>Okra</v>
      </c>
      <c r="B57" s="139">
        <f t="shared" si="27"/>
        <v>0</v>
      </c>
      <c r="C57" s="139">
        <f t="shared" ref="C57:H57" si="30">(B57/B$44)*C$44</f>
        <v>0</v>
      </c>
      <c r="D57" s="139">
        <f t="shared" si="30"/>
        <v>0</v>
      </c>
      <c r="E57" s="139">
        <f t="shared" si="30"/>
        <v>0</v>
      </c>
      <c r="F57" s="139">
        <f t="shared" si="30"/>
        <v>0</v>
      </c>
      <c r="G57" s="139">
        <f t="shared" si="30"/>
        <v>0</v>
      </c>
      <c r="H57" s="139">
        <f t="shared" si="30"/>
        <v>0</v>
      </c>
    </row>
    <row r="58" spans="1:8" ht="15.75" customHeight="1">
      <c r="A58" s="139" t="str">
        <f t="shared" si="26"/>
        <v>Chilli</v>
      </c>
      <c r="B58" s="139">
        <f t="shared" si="27"/>
        <v>0</v>
      </c>
      <c r="C58" s="139">
        <f t="shared" ref="C58:H58" si="31">(B58/B$44)*C$44</f>
        <v>0</v>
      </c>
      <c r="D58" s="139">
        <f t="shared" si="31"/>
        <v>0</v>
      </c>
      <c r="E58" s="139">
        <f t="shared" si="31"/>
        <v>0</v>
      </c>
      <c r="F58" s="139">
        <f t="shared" si="31"/>
        <v>0</v>
      </c>
      <c r="G58" s="139">
        <f t="shared" si="31"/>
        <v>0</v>
      </c>
      <c r="H58" s="139">
        <f t="shared" si="31"/>
        <v>0</v>
      </c>
    </row>
    <row r="59" spans="1:8" ht="15.75" customHeight="1">
      <c r="A59" s="139" t="str">
        <f t="shared" si="26"/>
        <v>Brinjal</v>
      </c>
      <c r="B59" s="139">
        <f t="shared" si="27"/>
        <v>0</v>
      </c>
      <c r="C59" s="139">
        <f t="shared" ref="C59:H59" si="32">(B59/B$44)*C$44</f>
        <v>0</v>
      </c>
      <c r="D59" s="139">
        <f t="shared" si="32"/>
        <v>0</v>
      </c>
      <c r="E59" s="139">
        <f t="shared" si="32"/>
        <v>0</v>
      </c>
      <c r="F59" s="139">
        <f t="shared" si="32"/>
        <v>0</v>
      </c>
      <c r="G59" s="139">
        <f t="shared" si="32"/>
        <v>0</v>
      </c>
      <c r="H59" s="139">
        <f t="shared" si="32"/>
        <v>0</v>
      </c>
    </row>
    <row r="60" spans="1:8" ht="15.75" customHeight="1">
      <c r="A60" s="139">
        <f t="shared" si="26"/>
        <v>0</v>
      </c>
      <c r="B60" s="139">
        <f t="shared" si="27"/>
        <v>0</v>
      </c>
      <c r="C60" s="139">
        <f t="shared" ref="C60:H60" si="33">(B60/B$44)*C$44</f>
        <v>0</v>
      </c>
      <c r="D60" s="139">
        <f t="shared" si="33"/>
        <v>0</v>
      </c>
      <c r="E60" s="139">
        <f t="shared" si="33"/>
        <v>0</v>
      </c>
      <c r="F60" s="139">
        <f t="shared" si="33"/>
        <v>0</v>
      </c>
      <c r="G60" s="139">
        <f t="shared" si="33"/>
        <v>0</v>
      </c>
      <c r="H60" s="139">
        <f t="shared" si="33"/>
        <v>0</v>
      </c>
    </row>
    <row r="61" spans="1:8" ht="15.75" customHeight="1">
      <c r="A61" s="139">
        <f t="shared" si="26"/>
        <v>0</v>
      </c>
      <c r="B61" s="139">
        <f t="shared" si="27"/>
        <v>0</v>
      </c>
      <c r="C61" s="139">
        <f t="shared" ref="C61:H61" si="34">(B61/B$44)*C$44</f>
        <v>0</v>
      </c>
      <c r="D61" s="139">
        <f t="shared" si="34"/>
        <v>0</v>
      </c>
      <c r="E61" s="139">
        <f t="shared" si="34"/>
        <v>0</v>
      </c>
      <c r="F61" s="139">
        <f t="shared" si="34"/>
        <v>0</v>
      </c>
      <c r="G61" s="139">
        <f t="shared" si="34"/>
        <v>0</v>
      </c>
      <c r="H61" s="139">
        <f t="shared" si="34"/>
        <v>0</v>
      </c>
    </row>
    <row r="62" spans="1:8" ht="15.75" customHeight="1">
      <c r="A62" s="139">
        <f t="shared" si="26"/>
        <v>0</v>
      </c>
      <c r="B62" s="139">
        <f t="shared" si="27"/>
        <v>0</v>
      </c>
      <c r="C62" s="139">
        <f t="shared" ref="C62:H62" si="35">(B62/B$44)*C$44</f>
        <v>0</v>
      </c>
      <c r="D62" s="139">
        <f t="shared" si="35"/>
        <v>0</v>
      </c>
      <c r="E62" s="139">
        <f t="shared" si="35"/>
        <v>0</v>
      </c>
      <c r="F62" s="139">
        <f t="shared" si="35"/>
        <v>0</v>
      </c>
      <c r="G62" s="139">
        <f t="shared" si="35"/>
        <v>0</v>
      </c>
      <c r="H62" s="139">
        <f t="shared" si="35"/>
        <v>0</v>
      </c>
    </row>
    <row r="63" spans="1:8" ht="15.75" customHeight="1">
      <c r="A63" s="139">
        <f t="shared" ref="A63:A70" si="36">B33</f>
        <v>0</v>
      </c>
      <c r="B63" s="139">
        <f t="shared" ref="B63:B70" si="37">H33*$B$44</f>
        <v>0</v>
      </c>
      <c r="C63" s="139">
        <f t="shared" ref="C63:H63" si="38">(B63/B$44)*C$44</f>
        <v>0</v>
      </c>
      <c r="D63" s="139">
        <f t="shared" si="38"/>
        <v>0</v>
      </c>
      <c r="E63" s="139">
        <f t="shared" si="38"/>
        <v>0</v>
      </c>
      <c r="F63" s="139">
        <f t="shared" si="38"/>
        <v>0</v>
      </c>
      <c r="G63" s="139">
        <f t="shared" si="38"/>
        <v>0</v>
      </c>
      <c r="H63" s="139">
        <f t="shared" si="38"/>
        <v>0</v>
      </c>
    </row>
    <row r="64" spans="1:8" ht="15.75" customHeight="1">
      <c r="A64" s="139">
        <f t="shared" si="36"/>
        <v>0</v>
      </c>
      <c r="B64" s="139">
        <f t="shared" si="37"/>
        <v>0</v>
      </c>
      <c r="C64" s="139">
        <f t="shared" ref="C64:H64" si="39">(B64/B$44)*C$44</f>
        <v>0</v>
      </c>
      <c r="D64" s="139">
        <f t="shared" si="39"/>
        <v>0</v>
      </c>
      <c r="E64" s="139">
        <f t="shared" si="39"/>
        <v>0</v>
      </c>
      <c r="F64" s="139">
        <f t="shared" si="39"/>
        <v>0</v>
      </c>
      <c r="G64" s="139">
        <f t="shared" si="39"/>
        <v>0</v>
      </c>
      <c r="H64" s="139">
        <f t="shared" si="39"/>
        <v>0</v>
      </c>
    </row>
    <row r="65" spans="1:8" ht="15.75" customHeight="1">
      <c r="A65" s="139">
        <f t="shared" si="36"/>
        <v>0</v>
      </c>
      <c r="B65" s="139">
        <f t="shared" si="37"/>
        <v>0</v>
      </c>
      <c r="C65" s="139">
        <f t="shared" ref="C65:H65" si="40">(B65/B$44)*C$44</f>
        <v>0</v>
      </c>
      <c r="D65" s="139">
        <f t="shared" si="40"/>
        <v>0</v>
      </c>
      <c r="E65" s="139">
        <f t="shared" si="40"/>
        <v>0</v>
      </c>
      <c r="F65" s="139">
        <f t="shared" si="40"/>
        <v>0</v>
      </c>
      <c r="G65" s="139">
        <f t="shared" si="40"/>
        <v>0</v>
      </c>
      <c r="H65" s="139">
        <f t="shared" si="40"/>
        <v>0</v>
      </c>
    </row>
    <row r="66" spans="1:8" ht="15.75" customHeight="1">
      <c r="A66" s="139">
        <f t="shared" si="36"/>
        <v>0</v>
      </c>
      <c r="B66" s="139">
        <f t="shared" si="37"/>
        <v>0</v>
      </c>
      <c r="C66" s="139">
        <f t="shared" ref="C66:H66" si="41">(B66/B$44)*C$44</f>
        <v>0</v>
      </c>
      <c r="D66" s="139">
        <f t="shared" si="41"/>
        <v>0</v>
      </c>
      <c r="E66" s="139">
        <f t="shared" si="41"/>
        <v>0</v>
      </c>
      <c r="F66" s="139">
        <f t="shared" si="41"/>
        <v>0</v>
      </c>
      <c r="G66" s="139">
        <f t="shared" si="41"/>
        <v>0</v>
      </c>
      <c r="H66" s="139">
        <f t="shared" si="41"/>
        <v>0</v>
      </c>
    </row>
    <row r="67" spans="1:8" ht="15.75" customHeight="1">
      <c r="A67" s="139" t="str">
        <f t="shared" si="36"/>
        <v>Pomegranate</v>
      </c>
      <c r="B67" s="139">
        <f t="shared" si="37"/>
        <v>0</v>
      </c>
      <c r="C67" s="139">
        <f t="shared" ref="C67:H67" si="42">(B67/B$44)*C$44</f>
        <v>0</v>
      </c>
      <c r="D67" s="139">
        <f t="shared" si="42"/>
        <v>0</v>
      </c>
      <c r="E67" s="139">
        <f t="shared" si="42"/>
        <v>0</v>
      </c>
      <c r="F67" s="139">
        <f t="shared" si="42"/>
        <v>0</v>
      </c>
      <c r="G67" s="139">
        <f t="shared" si="42"/>
        <v>0</v>
      </c>
      <c r="H67" s="139">
        <f t="shared" si="42"/>
        <v>0</v>
      </c>
    </row>
    <row r="68" spans="1:8" ht="15.75" customHeight="1">
      <c r="A68" s="139" t="str">
        <f t="shared" si="36"/>
        <v>Custard Apple</v>
      </c>
      <c r="B68" s="139">
        <f t="shared" si="37"/>
        <v>0</v>
      </c>
      <c r="C68" s="139">
        <f t="shared" ref="C68:H68" si="43">(B68/B$44)*C$44</f>
        <v>0</v>
      </c>
      <c r="D68" s="139">
        <f t="shared" si="43"/>
        <v>0</v>
      </c>
      <c r="E68" s="139">
        <f t="shared" si="43"/>
        <v>0</v>
      </c>
      <c r="F68" s="139">
        <f t="shared" si="43"/>
        <v>0</v>
      </c>
      <c r="G68" s="139">
        <f t="shared" si="43"/>
        <v>0</v>
      </c>
      <c r="H68" s="139">
        <f t="shared" si="43"/>
        <v>0</v>
      </c>
    </row>
    <row r="69" spans="1:8" ht="15.75" customHeight="1">
      <c r="A69" s="139" t="str">
        <f t="shared" si="36"/>
        <v>Guava</v>
      </c>
      <c r="B69" s="139">
        <f t="shared" si="37"/>
        <v>0</v>
      </c>
      <c r="C69" s="139">
        <f t="shared" ref="C69:H69" si="44">(B69/B$44)*C$44</f>
        <v>0</v>
      </c>
      <c r="D69" s="139">
        <f t="shared" si="44"/>
        <v>0</v>
      </c>
      <c r="E69" s="139">
        <f t="shared" si="44"/>
        <v>0</v>
      </c>
      <c r="F69" s="139">
        <f t="shared" si="44"/>
        <v>0</v>
      </c>
      <c r="G69" s="139">
        <f t="shared" si="44"/>
        <v>0</v>
      </c>
      <c r="H69" s="139">
        <f t="shared" si="44"/>
        <v>0</v>
      </c>
    </row>
    <row r="70" spans="1:8" ht="15.75" customHeight="1">
      <c r="A70" s="139" t="str">
        <f t="shared" si="36"/>
        <v>Citrus</v>
      </c>
      <c r="B70" s="139">
        <f t="shared" si="37"/>
        <v>0</v>
      </c>
      <c r="C70" s="139">
        <f t="shared" ref="C70:H70" si="45">(B70/B$44)*C$44</f>
        <v>0</v>
      </c>
      <c r="D70" s="139">
        <f t="shared" si="45"/>
        <v>0</v>
      </c>
      <c r="E70" s="139">
        <f t="shared" si="45"/>
        <v>0</v>
      </c>
      <c r="F70" s="139">
        <f t="shared" si="45"/>
        <v>0</v>
      </c>
      <c r="G70" s="139">
        <f t="shared" si="45"/>
        <v>0</v>
      </c>
      <c r="H70" s="139">
        <f t="shared" si="45"/>
        <v>0</v>
      </c>
    </row>
    <row r="71" spans="1:8" ht="15.75" customHeight="1">
      <c r="A71" s="384" t="s">
        <v>551</v>
      </c>
      <c r="B71" s="328"/>
      <c r="C71" s="328"/>
      <c r="D71" s="328"/>
      <c r="E71" s="328"/>
      <c r="F71" s="328"/>
      <c r="G71" s="328"/>
      <c r="H71" s="329"/>
    </row>
    <row r="72" spans="1:8" ht="15.75" customHeight="1">
      <c r="A72" s="391" t="s">
        <v>142</v>
      </c>
      <c r="B72" s="259">
        <v>0.05</v>
      </c>
      <c r="C72" s="259">
        <f t="shared" ref="C72:H72" si="46">B72+0.05</f>
        <v>0.1</v>
      </c>
      <c r="D72" s="259">
        <f t="shared" si="46"/>
        <v>0.15000000000000002</v>
      </c>
      <c r="E72" s="259">
        <f t="shared" si="46"/>
        <v>0.2</v>
      </c>
      <c r="F72" s="259">
        <f t="shared" si="46"/>
        <v>0.25</v>
      </c>
      <c r="G72" s="259">
        <f t="shared" si="46"/>
        <v>0.3</v>
      </c>
      <c r="H72" s="259">
        <f t="shared" si="46"/>
        <v>0.35</v>
      </c>
    </row>
    <row r="73" spans="1:8" ht="15.75" customHeight="1">
      <c r="A73" s="334"/>
      <c r="B73" s="244" t="s">
        <v>145</v>
      </c>
      <c r="C73" s="244" t="s">
        <v>146</v>
      </c>
      <c r="D73" s="244" t="s">
        <v>147</v>
      </c>
      <c r="E73" s="244" t="s">
        <v>148</v>
      </c>
      <c r="F73" s="244" t="s">
        <v>149</v>
      </c>
      <c r="G73" s="244" t="s">
        <v>150</v>
      </c>
      <c r="H73" s="244" t="s">
        <v>151</v>
      </c>
    </row>
    <row r="74" spans="1:8" ht="15.75" customHeight="1">
      <c r="A74" s="139" t="str">
        <f t="shared" ref="A74:A98" si="47">A46</f>
        <v>Onion</v>
      </c>
      <c r="B74" s="139">
        <f t="shared" ref="B74:H74" si="48">H14*$B$72</f>
        <v>0</v>
      </c>
      <c r="C74" s="139">
        <f t="shared" si="48"/>
        <v>0</v>
      </c>
      <c r="D74" s="139">
        <f t="shared" si="48"/>
        <v>0</v>
      </c>
      <c r="E74" s="139">
        <f t="shared" si="48"/>
        <v>0</v>
      </c>
      <c r="F74" s="139">
        <f t="shared" si="48"/>
        <v>0</v>
      </c>
      <c r="G74" s="139">
        <f t="shared" si="48"/>
        <v>0</v>
      </c>
      <c r="H74" s="139">
        <f t="shared" si="48"/>
        <v>0</v>
      </c>
    </row>
    <row r="75" spans="1:8" ht="15.75" customHeight="1">
      <c r="A75" s="139" t="str">
        <f t="shared" si="47"/>
        <v>Tomato</v>
      </c>
      <c r="B75" s="139">
        <f>H15*$B$72*0</f>
        <v>0</v>
      </c>
      <c r="C75" s="139">
        <f t="shared" ref="C75:H75" si="49">(B75/B72)*C72</f>
        <v>0</v>
      </c>
      <c r="D75" s="139">
        <f t="shared" si="49"/>
        <v>0</v>
      </c>
      <c r="E75" s="139">
        <f t="shared" si="49"/>
        <v>0</v>
      </c>
      <c r="F75" s="139">
        <f t="shared" si="49"/>
        <v>0</v>
      </c>
      <c r="G75" s="139">
        <f t="shared" si="49"/>
        <v>0</v>
      </c>
      <c r="H75" s="139">
        <f t="shared" si="49"/>
        <v>0</v>
      </c>
    </row>
    <row r="76" spans="1:8" ht="15.75" customHeight="1">
      <c r="A76" s="139" t="str">
        <f t="shared" si="47"/>
        <v>Okra</v>
      </c>
      <c r="B76" s="139">
        <f>H16*$B$72</f>
        <v>0</v>
      </c>
      <c r="C76" s="139">
        <f t="shared" ref="C76:H76" si="50">(B76/B72)*C72</f>
        <v>0</v>
      </c>
      <c r="D76" s="139">
        <f t="shared" si="50"/>
        <v>0</v>
      </c>
      <c r="E76" s="139">
        <f t="shared" si="50"/>
        <v>0</v>
      </c>
      <c r="F76" s="139">
        <f t="shared" si="50"/>
        <v>0</v>
      </c>
      <c r="G76" s="139">
        <f t="shared" si="50"/>
        <v>0</v>
      </c>
      <c r="H76" s="139">
        <f t="shared" si="50"/>
        <v>0</v>
      </c>
    </row>
    <row r="77" spans="1:8" ht="15.75" customHeight="1">
      <c r="A77" s="139" t="str">
        <f t="shared" si="47"/>
        <v>Chilli</v>
      </c>
      <c r="B77" s="139">
        <f>H17*$B$72*0</f>
        <v>0</v>
      </c>
      <c r="C77" s="139">
        <f t="shared" ref="C77:H77" si="51">(B77/B$72)*C$72</f>
        <v>0</v>
      </c>
      <c r="D77" s="139">
        <f t="shared" si="51"/>
        <v>0</v>
      </c>
      <c r="E77" s="139">
        <f t="shared" si="51"/>
        <v>0</v>
      </c>
      <c r="F77" s="139">
        <f t="shared" si="51"/>
        <v>0</v>
      </c>
      <c r="G77" s="139">
        <f t="shared" si="51"/>
        <v>0</v>
      </c>
      <c r="H77" s="139">
        <f t="shared" si="51"/>
        <v>0</v>
      </c>
    </row>
    <row r="78" spans="1:8" ht="15.75" customHeight="1">
      <c r="A78" s="139" t="str">
        <f t="shared" si="47"/>
        <v>Potato</v>
      </c>
      <c r="B78" s="139">
        <f>H18*$B$72</f>
        <v>0</v>
      </c>
      <c r="C78" s="139">
        <f t="shared" ref="C78:H78" si="52">(B78/B$72)*C$72</f>
        <v>0</v>
      </c>
      <c r="D78" s="139">
        <f t="shared" si="52"/>
        <v>0</v>
      </c>
      <c r="E78" s="139">
        <f t="shared" si="52"/>
        <v>0</v>
      </c>
      <c r="F78" s="139">
        <f t="shared" si="52"/>
        <v>0</v>
      </c>
      <c r="G78" s="139">
        <f t="shared" si="52"/>
        <v>0</v>
      </c>
      <c r="H78" s="139">
        <f t="shared" si="52"/>
        <v>0</v>
      </c>
    </row>
    <row r="79" spans="1:8" ht="15.75" customHeight="1">
      <c r="A79" s="139">
        <f t="shared" si="47"/>
        <v>0</v>
      </c>
      <c r="B79" s="139">
        <f t="shared" ref="B79:B80" si="53">H19*$B$72*0</f>
        <v>0</v>
      </c>
      <c r="C79" s="139">
        <f t="shared" ref="C79:H79" si="54">(B79/B$72)*C$72</f>
        <v>0</v>
      </c>
      <c r="D79" s="139">
        <f t="shared" si="54"/>
        <v>0</v>
      </c>
      <c r="E79" s="139">
        <f t="shared" si="54"/>
        <v>0</v>
      </c>
      <c r="F79" s="139">
        <f t="shared" si="54"/>
        <v>0</v>
      </c>
      <c r="G79" s="139">
        <f t="shared" si="54"/>
        <v>0</v>
      </c>
      <c r="H79" s="139">
        <f t="shared" si="54"/>
        <v>0</v>
      </c>
    </row>
    <row r="80" spans="1:8" ht="15.75" customHeight="1">
      <c r="A80" s="139">
        <f t="shared" si="47"/>
        <v>0</v>
      </c>
      <c r="B80" s="139">
        <f t="shared" si="53"/>
        <v>0</v>
      </c>
      <c r="C80" s="139">
        <f t="shared" ref="C80:H80" si="55">(B80/B$72)*C$72</f>
        <v>0</v>
      </c>
      <c r="D80" s="139">
        <f t="shared" si="55"/>
        <v>0</v>
      </c>
      <c r="E80" s="139">
        <f t="shared" si="55"/>
        <v>0</v>
      </c>
      <c r="F80" s="139">
        <f t="shared" si="55"/>
        <v>0</v>
      </c>
      <c r="G80" s="139">
        <f t="shared" si="55"/>
        <v>0</v>
      </c>
      <c r="H80" s="139">
        <f t="shared" si="55"/>
        <v>0</v>
      </c>
    </row>
    <row r="81" spans="1:8" ht="15.75" customHeight="1">
      <c r="A81" s="139">
        <f t="shared" si="47"/>
        <v>0</v>
      </c>
      <c r="B81" s="139">
        <f t="shared" ref="B81:B82" si="56">H21*$B$72</f>
        <v>0</v>
      </c>
      <c r="C81" s="139">
        <f t="shared" ref="C81:H81" si="57">(B81/B$72)*C$72</f>
        <v>0</v>
      </c>
      <c r="D81" s="139">
        <f t="shared" si="57"/>
        <v>0</v>
      </c>
      <c r="E81" s="139">
        <f t="shared" si="57"/>
        <v>0</v>
      </c>
      <c r="F81" s="139">
        <f t="shared" si="57"/>
        <v>0</v>
      </c>
      <c r="G81" s="139">
        <f t="shared" si="57"/>
        <v>0</v>
      </c>
      <c r="H81" s="139">
        <f t="shared" si="57"/>
        <v>0</v>
      </c>
    </row>
    <row r="82" spans="1:8" ht="15.75" customHeight="1">
      <c r="A82" s="139">
        <f t="shared" si="47"/>
        <v>0</v>
      </c>
      <c r="B82" s="139">
        <f t="shared" si="56"/>
        <v>0</v>
      </c>
      <c r="C82" s="139">
        <f t="shared" ref="C82:H82" si="58">(B82/B$72)*C$72</f>
        <v>0</v>
      </c>
      <c r="D82" s="139">
        <f t="shared" si="58"/>
        <v>0</v>
      </c>
      <c r="E82" s="139">
        <f t="shared" si="58"/>
        <v>0</v>
      </c>
      <c r="F82" s="139">
        <f t="shared" si="58"/>
        <v>0</v>
      </c>
      <c r="G82" s="139">
        <f t="shared" si="58"/>
        <v>0</v>
      </c>
      <c r="H82" s="139">
        <f t="shared" si="58"/>
        <v>0</v>
      </c>
    </row>
    <row r="83" spans="1:8" ht="15.75" customHeight="1">
      <c r="A83" s="139" t="str">
        <f t="shared" si="47"/>
        <v>Onion</v>
      </c>
      <c r="B83" s="139">
        <f t="shared" ref="B83:B90" si="59">H24*$B$72</f>
        <v>0</v>
      </c>
      <c r="C83" s="139">
        <f t="shared" ref="C83:H83" si="60">(B83/B$72)*C$72</f>
        <v>0</v>
      </c>
      <c r="D83" s="139">
        <f t="shared" si="60"/>
        <v>0</v>
      </c>
      <c r="E83" s="139">
        <f t="shared" si="60"/>
        <v>0</v>
      </c>
      <c r="F83" s="139">
        <f t="shared" si="60"/>
        <v>0</v>
      </c>
      <c r="G83" s="139">
        <f t="shared" si="60"/>
        <v>0</v>
      </c>
      <c r="H83" s="139">
        <f t="shared" si="60"/>
        <v>0</v>
      </c>
    </row>
    <row r="84" spans="1:8" ht="15.75" customHeight="1">
      <c r="A84" s="139" t="str">
        <f t="shared" si="47"/>
        <v>Tomato</v>
      </c>
      <c r="B84" s="139">
        <f t="shared" si="59"/>
        <v>0</v>
      </c>
      <c r="C84" s="139">
        <f t="shared" ref="C84:H84" si="61">(B84/B$72)*C$72</f>
        <v>0</v>
      </c>
      <c r="D84" s="139">
        <f t="shared" si="61"/>
        <v>0</v>
      </c>
      <c r="E84" s="139">
        <f t="shared" si="61"/>
        <v>0</v>
      </c>
      <c r="F84" s="139">
        <f t="shared" si="61"/>
        <v>0</v>
      </c>
      <c r="G84" s="139">
        <f t="shared" si="61"/>
        <v>0</v>
      </c>
      <c r="H84" s="139">
        <f t="shared" si="61"/>
        <v>0</v>
      </c>
    </row>
    <row r="85" spans="1:8" ht="15.75" customHeight="1">
      <c r="A85" s="139" t="str">
        <f t="shared" si="47"/>
        <v>Okra</v>
      </c>
      <c r="B85" s="139">
        <f t="shared" si="59"/>
        <v>0</v>
      </c>
      <c r="C85" s="139">
        <f t="shared" ref="C85:H85" si="62">(B85/B$72)*C$72</f>
        <v>0</v>
      </c>
      <c r="D85" s="139">
        <f t="shared" si="62"/>
        <v>0</v>
      </c>
      <c r="E85" s="139">
        <f t="shared" si="62"/>
        <v>0</v>
      </c>
      <c r="F85" s="139">
        <f t="shared" si="62"/>
        <v>0</v>
      </c>
      <c r="G85" s="139">
        <f t="shared" si="62"/>
        <v>0</v>
      </c>
      <c r="H85" s="139">
        <f t="shared" si="62"/>
        <v>0</v>
      </c>
    </row>
    <row r="86" spans="1:8" ht="15.75" customHeight="1">
      <c r="A86" s="139" t="str">
        <f t="shared" si="47"/>
        <v>Chilli</v>
      </c>
      <c r="B86" s="139">
        <f t="shared" si="59"/>
        <v>0</v>
      </c>
      <c r="C86" s="139">
        <f t="shared" ref="C86:H86" si="63">(B86/B$72)*C$72</f>
        <v>0</v>
      </c>
      <c r="D86" s="139">
        <f t="shared" si="63"/>
        <v>0</v>
      </c>
      <c r="E86" s="139">
        <f t="shared" si="63"/>
        <v>0</v>
      </c>
      <c r="F86" s="139">
        <f t="shared" si="63"/>
        <v>0</v>
      </c>
      <c r="G86" s="139">
        <f t="shared" si="63"/>
        <v>0</v>
      </c>
      <c r="H86" s="139">
        <f t="shared" si="63"/>
        <v>0</v>
      </c>
    </row>
    <row r="87" spans="1:8" ht="15.75" customHeight="1">
      <c r="A87" s="139" t="str">
        <f t="shared" si="47"/>
        <v>Brinjal</v>
      </c>
      <c r="B87" s="139">
        <f t="shared" si="59"/>
        <v>0</v>
      </c>
      <c r="C87" s="139">
        <f t="shared" ref="C87:H87" si="64">(B87/B$72)*C$72</f>
        <v>0</v>
      </c>
      <c r="D87" s="139">
        <f t="shared" si="64"/>
        <v>0</v>
      </c>
      <c r="E87" s="139">
        <f t="shared" si="64"/>
        <v>0</v>
      </c>
      <c r="F87" s="139">
        <f t="shared" si="64"/>
        <v>0</v>
      </c>
      <c r="G87" s="139">
        <f t="shared" si="64"/>
        <v>0</v>
      </c>
      <c r="H87" s="139">
        <f t="shared" si="64"/>
        <v>0</v>
      </c>
    </row>
    <row r="88" spans="1:8" ht="15.75" customHeight="1">
      <c r="A88" s="139">
        <f t="shared" si="47"/>
        <v>0</v>
      </c>
      <c r="B88" s="139">
        <f t="shared" si="59"/>
        <v>0</v>
      </c>
      <c r="C88" s="139">
        <f t="shared" ref="C88:H88" si="65">(B88/B$72)*C$72</f>
        <v>0</v>
      </c>
      <c r="D88" s="139">
        <f t="shared" si="65"/>
        <v>0</v>
      </c>
      <c r="E88" s="139">
        <f t="shared" si="65"/>
        <v>0</v>
      </c>
      <c r="F88" s="139">
        <f t="shared" si="65"/>
        <v>0</v>
      </c>
      <c r="G88" s="139">
        <f t="shared" si="65"/>
        <v>0</v>
      </c>
      <c r="H88" s="139">
        <f t="shared" si="65"/>
        <v>0</v>
      </c>
    </row>
    <row r="89" spans="1:8" ht="15.75" customHeight="1">
      <c r="A89" s="139">
        <f t="shared" si="47"/>
        <v>0</v>
      </c>
      <c r="B89" s="139">
        <f t="shared" si="59"/>
        <v>0</v>
      </c>
      <c r="C89" s="139">
        <f t="shared" ref="C89:H89" si="66">(B89/B$72)*C$72</f>
        <v>0</v>
      </c>
      <c r="D89" s="139">
        <f t="shared" si="66"/>
        <v>0</v>
      </c>
      <c r="E89" s="139">
        <f t="shared" si="66"/>
        <v>0</v>
      </c>
      <c r="F89" s="139">
        <f t="shared" si="66"/>
        <v>0</v>
      </c>
      <c r="G89" s="139">
        <f t="shared" si="66"/>
        <v>0</v>
      </c>
      <c r="H89" s="139">
        <f t="shared" si="66"/>
        <v>0</v>
      </c>
    </row>
    <row r="90" spans="1:8" ht="15.75" customHeight="1">
      <c r="A90" s="139">
        <f t="shared" si="47"/>
        <v>0</v>
      </c>
      <c r="B90" s="139">
        <f t="shared" si="59"/>
        <v>0</v>
      </c>
      <c r="C90" s="139">
        <f t="shared" ref="C90:H90" si="67">(B90/B$72)*C$72</f>
        <v>0</v>
      </c>
      <c r="D90" s="139">
        <f t="shared" si="67"/>
        <v>0</v>
      </c>
      <c r="E90" s="139">
        <f t="shared" si="67"/>
        <v>0</v>
      </c>
      <c r="F90" s="139">
        <f t="shared" si="67"/>
        <v>0</v>
      </c>
      <c r="G90" s="139">
        <f t="shared" si="67"/>
        <v>0</v>
      </c>
      <c r="H90" s="139">
        <f t="shared" si="67"/>
        <v>0</v>
      </c>
    </row>
    <row r="91" spans="1:8" ht="15.75" customHeight="1">
      <c r="A91" s="139">
        <f t="shared" si="47"/>
        <v>0</v>
      </c>
      <c r="B91" s="139">
        <f t="shared" ref="B91:B98" si="68">H33*$B$72</f>
        <v>0</v>
      </c>
      <c r="C91" s="139">
        <f t="shared" ref="C91:H91" si="69">(B91/B$72)*C$72</f>
        <v>0</v>
      </c>
      <c r="D91" s="139">
        <f t="shared" si="69"/>
        <v>0</v>
      </c>
      <c r="E91" s="139">
        <f t="shared" si="69"/>
        <v>0</v>
      </c>
      <c r="F91" s="139">
        <f t="shared" si="69"/>
        <v>0</v>
      </c>
      <c r="G91" s="139">
        <f t="shared" si="69"/>
        <v>0</v>
      </c>
      <c r="H91" s="139">
        <f t="shared" si="69"/>
        <v>0</v>
      </c>
    </row>
    <row r="92" spans="1:8" ht="15.75" customHeight="1">
      <c r="A92" s="139">
        <f t="shared" si="47"/>
        <v>0</v>
      </c>
      <c r="B92" s="139">
        <f t="shared" si="68"/>
        <v>0</v>
      </c>
      <c r="C92" s="139">
        <f t="shared" ref="C92:G92" si="70">(B92/B$72)*C$72</f>
        <v>0</v>
      </c>
      <c r="D92" s="139">
        <f t="shared" si="70"/>
        <v>0</v>
      </c>
      <c r="E92" s="139">
        <f t="shared" si="70"/>
        <v>0</v>
      </c>
      <c r="F92" s="139">
        <f t="shared" si="70"/>
        <v>0</v>
      </c>
      <c r="G92" s="139">
        <f t="shared" si="70"/>
        <v>0</v>
      </c>
      <c r="H92" s="139"/>
    </row>
    <row r="93" spans="1:8" ht="15.75" customHeight="1">
      <c r="A93" s="139">
        <f t="shared" si="47"/>
        <v>0</v>
      </c>
      <c r="B93" s="139">
        <f t="shared" si="68"/>
        <v>0</v>
      </c>
      <c r="C93" s="139">
        <f t="shared" ref="C93:G93" si="71">(B93/B$72)*C$72</f>
        <v>0</v>
      </c>
      <c r="D93" s="139">
        <f t="shared" si="71"/>
        <v>0</v>
      </c>
      <c r="E93" s="139">
        <f t="shared" si="71"/>
        <v>0</v>
      </c>
      <c r="F93" s="139">
        <f t="shared" si="71"/>
        <v>0</v>
      </c>
      <c r="G93" s="139">
        <f t="shared" si="71"/>
        <v>0</v>
      </c>
      <c r="H93" s="139"/>
    </row>
    <row r="94" spans="1:8" ht="15.75" customHeight="1">
      <c r="A94" s="139">
        <f t="shared" si="47"/>
        <v>0</v>
      </c>
      <c r="B94" s="139">
        <f t="shared" si="68"/>
        <v>0</v>
      </c>
      <c r="C94" s="139">
        <f t="shared" ref="C94:G94" si="72">(B94/B$72)*C$72</f>
        <v>0</v>
      </c>
      <c r="D94" s="139">
        <f t="shared" si="72"/>
        <v>0</v>
      </c>
      <c r="E94" s="139">
        <f t="shared" si="72"/>
        <v>0</v>
      </c>
      <c r="F94" s="139">
        <f t="shared" si="72"/>
        <v>0</v>
      </c>
      <c r="G94" s="139">
        <f t="shared" si="72"/>
        <v>0</v>
      </c>
      <c r="H94" s="139"/>
    </row>
    <row r="95" spans="1:8" ht="15.75" customHeight="1">
      <c r="A95" s="139" t="str">
        <f t="shared" si="47"/>
        <v>Pomegranate</v>
      </c>
      <c r="B95" s="139">
        <f t="shared" si="68"/>
        <v>0</v>
      </c>
      <c r="C95" s="139">
        <f t="shared" ref="C95:H95" si="73">(B95/B$72)*C$72</f>
        <v>0</v>
      </c>
      <c r="D95" s="139">
        <f t="shared" si="73"/>
        <v>0</v>
      </c>
      <c r="E95" s="139">
        <f t="shared" si="73"/>
        <v>0</v>
      </c>
      <c r="F95" s="139">
        <f t="shared" si="73"/>
        <v>0</v>
      </c>
      <c r="G95" s="139">
        <f t="shared" si="73"/>
        <v>0</v>
      </c>
      <c r="H95" s="139">
        <f t="shared" si="73"/>
        <v>0</v>
      </c>
    </row>
    <row r="96" spans="1:8" ht="15.75" customHeight="1">
      <c r="A96" s="139" t="str">
        <f t="shared" si="47"/>
        <v>Custard Apple</v>
      </c>
      <c r="B96" s="139">
        <f t="shared" si="68"/>
        <v>0</v>
      </c>
      <c r="C96" s="139">
        <f t="shared" ref="C96:H96" si="74">(B96/B$72)*C$72</f>
        <v>0</v>
      </c>
      <c r="D96" s="139">
        <f t="shared" si="74"/>
        <v>0</v>
      </c>
      <c r="E96" s="139">
        <f t="shared" si="74"/>
        <v>0</v>
      </c>
      <c r="F96" s="139">
        <f t="shared" si="74"/>
        <v>0</v>
      </c>
      <c r="G96" s="139">
        <f t="shared" si="74"/>
        <v>0</v>
      </c>
      <c r="H96" s="139">
        <f t="shared" si="74"/>
        <v>0</v>
      </c>
    </row>
    <row r="97" spans="1:8" ht="15.75" customHeight="1">
      <c r="A97" s="139" t="str">
        <f t="shared" si="47"/>
        <v>Guava</v>
      </c>
      <c r="B97" s="139">
        <f t="shared" si="68"/>
        <v>0</v>
      </c>
      <c r="C97" s="139">
        <f t="shared" ref="C97:H97" si="75">(B97/B$72)*C$72</f>
        <v>0</v>
      </c>
      <c r="D97" s="139">
        <f t="shared" si="75"/>
        <v>0</v>
      </c>
      <c r="E97" s="139">
        <f t="shared" si="75"/>
        <v>0</v>
      </c>
      <c r="F97" s="139">
        <f t="shared" si="75"/>
        <v>0</v>
      </c>
      <c r="G97" s="139">
        <f t="shared" si="75"/>
        <v>0</v>
      </c>
      <c r="H97" s="139">
        <f t="shared" si="75"/>
        <v>0</v>
      </c>
    </row>
    <row r="98" spans="1:8" ht="15.75" customHeight="1">
      <c r="A98" s="139" t="str">
        <f t="shared" si="47"/>
        <v>Citrus</v>
      </c>
      <c r="B98" s="139">
        <f t="shared" si="68"/>
        <v>0</v>
      </c>
      <c r="C98" s="139">
        <f t="shared" ref="C98:H98" si="76">(B98/B$72)*C$72</f>
        <v>0</v>
      </c>
      <c r="D98" s="139">
        <f t="shared" si="76"/>
        <v>0</v>
      </c>
      <c r="E98" s="139">
        <f t="shared" si="76"/>
        <v>0</v>
      </c>
      <c r="F98" s="139">
        <f t="shared" si="76"/>
        <v>0</v>
      </c>
      <c r="G98" s="139">
        <f t="shared" si="76"/>
        <v>0</v>
      </c>
      <c r="H98" s="139">
        <f t="shared" si="76"/>
        <v>0</v>
      </c>
    </row>
    <row r="99" spans="1:8" ht="15.75" customHeight="1">
      <c r="A99" s="384" t="s">
        <v>552</v>
      </c>
      <c r="B99" s="328"/>
      <c r="C99" s="328"/>
      <c r="D99" s="328"/>
      <c r="E99" s="328"/>
      <c r="F99" s="328"/>
      <c r="G99" s="328"/>
      <c r="H99" s="329"/>
    </row>
    <row r="100" spans="1:8" ht="15.75" customHeight="1">
      <c r="A100" s="385" t="s">
        <v>142</v>
      </c>
      <c r="B100" s="260">
        <v>0.65</v>
      </c>
      <c r="C100" s="261">
        <f t="shared" ref="C100:H100" si="77">B100+0.05</f>
        <v>0.70000000000000007</v>
      </c>
      <c r="D100" s="261">
        <f t="shared" si="77"/>
        <v>0.75000000000000011</v>
      </c>
      <c r="E100" s="261">
        <f t="shared" si="77"/>
        <v>0.80000000000000016</v>
      </c>
      <c r="F100" s="261">
        <f t="shared" si="77"/>
        <v>0.8500000000000002</v>
      </c>
      <c r="G100" s="261">
        <f t="shared" si="77"/>
        <v>0.90000000000000024</v>
      </c>
      <c r="H100" s="261">
        <f t="shared" si="77"/>
        <v>0.95000000000000029</v>
      </c>
    </row>
    <row r="101" spans="1:8" ht="15.75" customHeight="1">
      <c r="A101" s="334"/>
      <c r="B101" s="244" t="s">
        <v>145</v>
      </c>
      <c r="C101" s="244" t="s">
        <v>146</v>
      </c>
      <c r="D101" s="244" t="s">
        <v>147</v>
      </c>
      <c r="E101" s="244" t="s">
        <v>148</v>
      </c>
      <c r="F101" s="244" t="s">
        <v>149</v>
      </c>
      <c r="G101" s="244" t="s">
        <v>150</v>
      </c>
      <c r="H101" s="244" t="s">
        <v>151</v>
      </c>
    </row>
    <row r="102" spans="1:8" ht="15.75" customHeight="1">
      <c r="A102" s="139" t="str">
        <f t="shared" ref="A102:A126" si="78">A74</f>
        <v>Onion</v>
      </c>
      <c r="B102" s="139">
        <f t="shared" ref="B102:B110" si="79">D14*$B$100</f>
        <v>0</v>
      </c>
      <c r="C102" s="139">
        <f t="shared" ref="C102:H102" si="80">(B102/B$100)*C$100</f>
        <v>0</v>
      </c>
      <c r="D102" s="139">
        <f t="shared" si="80"/>
        <v>0</v>
      </c>
      <c r="E102" s="139">
        <f t="shared" si="80"/>
        <v>0</v>
      </c>
      <c r="F102" s="139">
        <f t="shared" si="80"/>
        <v>0</v>
      </c>
      <c r="G102" s="139">
        <f t="shared" si="80"/>
        <v>0</v>
      </c>
      <c r="H102" s="139">
        <f t="shared" si="80"/>
        <v>0</v>
      </c>
    </row>
    <row r="103" spans="1:8" ht="15.75" customHeight="1">
      <c r="A103" s="139" t="str">
        <f t="shared" si="78"/>
        <v>Tomato</v>
      </c>
      <c r="B103" s="139">
        <f t="shared" si="79"/>
        <v>0</v>
      </c>
      <c r="C103" s="139">
        <f t="shared" ref="C103:C126" si="81">(B103/B$100)*C$100</f>
        <v>0</v>
      </c>
      <c r="D103" s="139">
        <f t="shared" ref="D103:H103" si="82">(C103/C100)*D100</f>
        <v>0</v>
      </c>
      <c r="E103" s="139">
        <f t="shared" si="82"/>
        <v>0</v>
      </c>
      <c r="F103" s="139">
        <f t="shared" si="82"/>
        <v>0</v>
      </c>
      <c r="G103" s="139">
        <f t="shared" si="82"/>
        <v>0</v>
      </c>
      <c r="H103" s="139">
        <f t="shared" si="82"/>
        <v>0</v>
      </c>
    </row>
    <row r="104" spans="1:8" ht="15.75" customHeight="1">
      <c r="A104" s="139" t="str">
        <f t="shared" si="78"/>
        <v>Okra</v>
      </c>
      <c r="B104" s="139">
        <f t="shared" si="79"/>
        <v>0</v>
      </c>
      <c r="C104" s="139">
        <f t="shared" si="81"/>
        <v>0</v>
      </c>
      <c r="D104" s="139">
        <f t="shared" ref="D104:H104" si="83">(C104/C$100)*D$100</f>
        <v>0</v>
      </c>
      <c r="E104" s="139">
        <f t="shared" si="83"/>
        <v>0</v>
      </c>
      <c r="F104" s="139">
        <f t="shared" si="83"/>
        <v>0</v>
      </c>
      <c r="G104" s="139">
        <f t="shared" si="83"/>
        <v>0</v>
      </c>
      <c r="H104" s="139">
        <f t="shared" si="83"/>
        <v>0</v>
      </c>
    </row>
    <row r="105" spans="1:8" ht="15.75" customHeight="1">
      <c r="A105" s="139" t="str">
        <f t="shared" si="78"/>
        <v>Chilli</v>
      </c>
      <c r="B105" s="139">
        <f t="shared" si="79"/>
        <v>0</v>
      </c>
      <c r="C105" s="139">
        <f t="shared" si="81"/>
        <v>0</v>
      </c>
      <c r="D105" s="139">
        <f t="shared" ref="D105:H105" si="84">(C105/C$100)*D$100</f>
        <v>0</v>
      </c>
      <c r="E105" s="139">
        <f t="shared" si="84"/>
        <v>0</v>
      </c>
      <c r="F105" s="139">
        <f t="shared" si="84"/>
        <v>0</v>
      </c>
      <c r="G105" s="139">
        <f t="shared" si="84"/>
        <v>0</v>
      </c>
      <c r="H105" s="139">
        <f t="shared" si="84"/>
        <v>0</v>
      </c>
    </row>
    <row r="106" spans="1:8" ht="15.75" customHeight="1">
      <c r="A106" s="139" t="str">
        <f t="shared" si="78"/>
        <v>Potato</v>
      </c>
      <c r="B106" s="139">
        <f t="shared" si="79"/>
        <v>0</v>
      </c>
      <c r="C106" s="139">
        <f t="shared" si="81"/>
        <v>0</v>
      </c>
      <c r="D106" s="139">
        <f t="shared" ref="D106:H106" si="85">(C106/C$100)*D$100</f>
        <v>0</v>
      </c>
      <c r="E106" s="139">
        <f t="shared" si="85"/>
        <v>0</v>
      </c>
      <c r="F106" s="139">
        <f t="shared" si="85"/>
        <v>0</v>
      </c>
      <c r="G106" s="139">
        <f t="shared" si="85"/>
        <v>0</v>
      </c>
      <c r="H106" s="139">
        <f t="shared" si="85"/>
        <v>0</v>
      </c>
    </row>
    <row r="107" spans="1:8" ht="15.75" customHeight="1">
      <c r="A107" s="139">
        <f t="shared" si="78"/>
        <v>0</v>
      </c>
      <c r="B107" s="139">
        <f t="shared" si="79"/>
        <v>0</v>
      </c>
      <c r="C107" s="139">
        <f t="shared" si="81"/>
        <v>0</v>
      </c>
      <c r="D107" s="139">
        <f t="shared" ref="D107:H107" si="86">(C107/C$100)*D$100</f>
        <v>0</v>
      </c>
      <c r="E107" s="139">
        <f t="shared" si="86"/>
        <v>0</v>
      </c>
      <c r="F107" s="139">
        <f t="shared" si="86"/>
        <v>0</v>
      </c>
      <c r="G107" s="139">
        <f t="shared" si="86"/>
        <v>0</v>
      </c>
      <c r="H107" s="139">
        <f t="shared" si="86"/>
        <v>0</v>
      </c>
    </row>
    <row r="108" spans="1:8" ht="15.75" customHeight="1">
      <c r="A108" s="139">
        <f t="shared" si="78"/>
        <v>0</v>
      </c>
      <c r="B108" s="139">
        <f t="shared" si="79"/>
        <v>0</v>
      </c>
      <c r="C108" s="139">
        <f t="shared" si="81"/>
        <v>0</v>
      </c>
      <c r="D108" s="139">
        <f t="shared" ref="D108:H108" si="87">(C108/C$100)*D$100</f>
        <v>0</v>
      </c>
      <c r="E108" s="139">
        <f t="shared" si="87"/>
        <v>0</v>
      </c>
      <c r="F108" s="139">
        <f t="shared" si="87"/>
        <v>0</v>
      </c>
      <c r="G108" s="139">
        <f t="shared" si="87"/>
        <v>0</v>
      </c>
      <c r="H108" s="139">
        <f t="shared" si="87"/>
        <v>0</v>
      </c>
    </row>
    <row r="109" spans="1:8" ht="15.75" customHeight="1">
      <c r="A109" s="139">
        <f t="shared" si="78"/>
        <v>0</v>
      </c>
      <c r="B109" s="139">
        <f t="shared" si="79"/>
        <v>0</v>
      </c>
      <c r="C109" s="139">
        <f t="shared" si="81"/>
        <v>0</v>
      </c>
      <c r="D109" s="139">
        <f t="shared" ref="D109:H109" si="88">(C109/C$100)*D$100</f>
        <v>0</v>
      </c>
      <c r="E109" s="139">
        <f t="shared" si="88"/>
        <v>0</v>
      </c>
      <c r="F109" s="139">
        <f t="shared" si="88"/>
        <v>0</v>
      </c>
      <c r="G109" s="139">
        <f t="shared" si="88"/>
        <v>0</v>
      </c>
      <c r="H109" s="139">
        <f t="shared" si="88"/>
        <v>0</v>
      </c>
    </row>
    <row r="110" spans="1:8" ht="15.75" customHeight="1">
      <c r="A110" s="139">
        <f t="shared" si="78"/>
        <v>0</v>
      </c>
      <c r="B110" s="139">
        <f t="shared" si="79"/>
        <v>0</v>
      </c>
      <c r="C110" s="139">
        <f t="shared" si="81"/>
        <v>0</v>
      </c>
      <c r="D110" s="139">
        <f t="shared" ref="D110:H110" si="89">(C110/C$100)*D$100</f>
        <v>0</v>
      </c>
      <c r="E110" s="139">
        <f t="shared" si="89"/>
        <v>0</v>
      </c>
      <c r="F110" s="139">
        <f t="shared" si="89"/>
        <v>0</v>
      </c>
      <c r="G110" s="139">
        <f t="shared" si="89"/>
        <v>0</v>
      </c>
      <c r="H110" s="139">
        <f t="shared" si="89"/>
        <v>0</v>
      </c>
    </row>
    <row r="111" spans="1:8" ht="15.75" customHeight="1">
      <c r="A111" s="139" t="str">
        <f t="shared" si="78"/>
        <v>Onion</v>
      </c>
      <c r="B111" s="139">
        <f t="shared" ref="B111:B118" si="90">D24*$B$100</f>
        <v>0</v>
      </c>
      <c r="C111" s="139">
        <f t="shared" si="81"/>
        <v>0</v>
      </c>
      <c r="D111" s="139">
        <f t="shared" ref="D111:H111" si="91">(C111/C$100)*D$100</f>
        <v>0</v>
      </c>
      <c r="E111" s="139">
        <f t="shared" si="91"/>
        <v>0</v>
      </c>
      <c r="F111" s="139">
        <f t="shared" si="91"/>
        <v>0</v>
      </c>
      <c r="G111" s="139">
        <f t="shared" si="91"/>
        <v>0</v>
      </c>
      <c r="H111" s="139">
        <f t="shared" si="91"/>
        <v>0</v>
      </c>
    </row>
    <row r="112" spans="1:8" ht="15.75" customHeight="1">
      <c r="A112" s="139" t="str">
        <f t="shared" si="78"/>
        <v>Tomato</v>
      </c>
      <c r="B112" s="139">
        <f t="shared" si="90"/>
        <v>0</v>
      </c>
      <c r="C112" s="139">
        <f t="shared" si="81"/>
        <v>0</v>
      </c>
      <c r="D112" s="139">
        <f t="shared" ref="D112:H112" si="92">(C112/C$100)*D$100</f>
        <v>0</v>
      </c>
      <c r="E112" s="139">
        <f t="shared" si="92"/>
        <v>0</v>
      </c>
      <c r="F112" s="139">
        <f t="shared" si="92"/>
        <v>0</v>
      </c>
      <c r="G112" s="139">
        <f t="shared" si="92"/>
        <v>0</v>
      </c>
      <c r="H112" s="139">
        <f t="shared" si="92"/>
        <v>0</v>
      </c>
    </row>
    <row r="113" spans="1:9" ht="15.75" customHeight="1">
      <c r="A113" s="139" t="str">
        <f t="shared" si="78"/>
        <v>Okra</v>
      </c>
      <c r="B113" s="139">
        <f t="shared" si="90"/>
        <v>0</v>
      </c>
      <c r="C113" s="139">
        <f t="shared" si="81"/>
        <v>0</v>
      </c>
      <c r="D113" s="139">
        <f t="shared" ref="D113:H113" si="93">(C113/C$100)*D$100</f>
        <v>0</v>
      </c>
      <c r="E113" s="139">
        <f t="shared" si="93"/>
        <v>0</v>
      </c>
      <c r="F113" s="139">
        <f t="shared" si="93"/>
        <v>0</v>
      </c>
      <c r="G113" s="139">
        <f t="shared" si="93"/>
        <v>0</v>
      </c>
      <c r="H113" s="139">
        <f t="shared" si="93"/>
        <v>0</v>
      </c>
    </row>
    <row r="114" spans="1:9" ht="15.75" customHeight="1">
      <c r="A114" s="139" t="str">
        <f t="shared" si="78"/>
        <v>Chilli</v>
      </c>
      <c r="B114" s="139">
        <f t="shared" si="90"/>
        <v>0</v>
      </c>
      <c r="C114" s="139">
        <f t="shared" si="81"/>
        <v>0</v>
      </c>
      <c r="D114" s="139">
        <f t="shared" ref="D114:H114" si="94">(C114/C$100)*D$100</f>
        <v>0</v>
      </c>
      <c r="E114" s="139">
        <f t="shared" si="94"/>
        <v>0</v>
      </c>
      <c r="F114" s="139">
        <f t="shared" si="94"/>
        <v>0</v>
      </c>
      <c r="G114" s="139">
        <f t="shared" si="94"/>
        <v>0</v>
      </c>
      <c r="H114" s="139">
        <f t="shared" si="94"/>
        <v>0</v>
      </c>
    </row>
    <row r="115" spans="1:9" ht="15.75" customHeight="1">
      <c r="A115" s="139" t="str">
        <f t="shared" si="78"/>
        <v>Brinjal</v>
      </c>
      <c r="B115" s="139">
        <f t="shared" si="90"/>
        <v>0</v>
      </c>
      <c r="C115" s="139">
        <f t="shared" si="81"/>
        <v>0</v>
      </c>
      <c r="D115" s="139">
        <f t="shared" ref="D115:H115" si="95">(C115/C$100)*D$100</f>
        <v>0</v>
      </c>
      <c r="E115" s="139">
        <f t="shared" si="95"/>
        <v>0</v>
      </c>
      <c r="F115" s="139">
        <f t="shared" si="95"/>
        <v>0</v>
      </c>
      <c r="G115" s="139">
        <f t="shared" si="95"/>
        <v>0</v>
      </c>
      <c r="H115" s="139">
        <f t="shared" si="95"/>
        <v>0</v>
      </c>
    </row>
    <row r="116" spans="1:9" ht="15.75" customHeight="1">
      <c r="A116" s="139">
        <f t="shared" si="78"/>
        <v>0</v>
      </c>
      <c r="B116" s="139">
        <f t="shared" si="90"/>
        <v>0</v>
      </c>
      <c r="C116" s="139">
        <f t="shared" si="81"/>
        <v>0</v>
      </c>
      <c r="D116" s="139">
        <f t="shared" ref="D116:H116" si="96">(C116/C$100)*D$100</f>
        <v>0</v>
      </c>
      <c r="E116" s="139">
        <f t="shared" si="96"/>
        <v>0</v>
      </c>
      <c r="F116" s="139">
        <f t="shared" si="96"/>
        <v>0</v>
      </c>
      <c r="G116" s="139">
        <f t="shared" si="96"/>
        <v>0</v>
      </c>
      <c r="H116" s="139">
        <f t="shared" si="96"/>
        <v>0</v>
      </c>
    </row>
    <row r="117" spans="1:9" ht="15.75" customHeight="1">
      <c r="A117" s="139">
        <f t="shared" si="78"/>
        <v>0</v>
      </c>
      <c r="B117" s="139">
        <f t="shared" si="90"/>
        <v>0</v>
      </c>
      <c r="C117" s="139">
        <f t="shared" si="81"/>
        <v>0</v>
      </c>
      <c r="D117" s="139">
        <f t="shared" ref="D117:H117" si="97">(C117/C$100)*D$100</f>
        <v>0</v>
      </c>
      <c r="E117" s="139">
        <f t="shared" si="97"/>
        <v>0</v>
      </c>
      <c r="F117" s="139">
        <f t="shared" si="97"/>
        <v>0</v>
      </c>
      <c r="G117" s="139">
        <f t="shared" si="97"/>
        <v>0</v>
      </c>
      <c r="H117" s="139">
        <f t="shared" si="97"/>
        <v>0</v>
      </c>
    </row>
    <row r="118" spans="1:9" ht="15.75" customHeight="1">
      <c r="A118" s="139">
        <f t="shared" si="78"/>
        <v>0</v>
      </c>
      <c r="B118" s="139">
        <f t="shared" si="90"/>
        <v>0</v>
      </c>
      <c r="C118" s="139">
        <f t="shared" si="81"/>
        <v>0</v>
      </c>
      <c r="D118" s="139">
        <f t="shared" ref="D118:H118" si="98">(C118/C$100)*D$100</f>
        <v>0</v>
      </c>
      <c r="E118" s="139">
        <f t="shared" si="98"/>
        <v>0</v>
      </c>
      <c r="F118" s="139">
        <f t="shared" si="98"/>
        <v>0</v>
      </c>
      <c r="G118" s="139">
        <f t="shared" si="98"/>
        <v>0</v>
      </c>
      <c r="H118" s="139">
        <f t="shared" si="98"/>
        <v>0</v>
      </c>
    </row>
    <row r="119" spans="1:9" ht="15.75" customHeight="1">
      <c r="A119" s="139">
        <f t="shared" si="78"/>
        <v>0</v>
      </c>
      <c r="B119" s="139">
        <f t="shared" ref="B119:B126" si="99">D33*$B$100</f>
        <v>0</v>
      </c>
      <c r="C119" s="139">
        <f t="shared" si="81"/>
        <v>0</v>
      </c>
      <c r="D119" s="139">
        <f t="shared" ref="D119:H119" si="100">(C119/C$100)*D$100</f>
        <v>0</v>
      </c>
      <c r="E119" s="139">
        <f t="shared" si="100"/>
        <v>0</v>
      </c>
      <c r="F119" s="139">
        <f t="shared" si="100"/>
        <v>0</v>
      </c>
      <c r="G119" s="139">
        <f t="shared" si="100"/>
        <v>0</v>
      </c>
      <c r="H119" s="139">
        <f t="shared" si="100"/>
        <v>0</v>
      </c>
    </row>
    <row r="120" spans="1:9" ht="15.75" customHeight="1">
      <c r="A120" s="139">
        <f t="shared" si="78"/>
        <v>0</v>
      </c>
      <c r="B120" s="139">
        <f t="shared" si="99"/>
        <v>0</v>
      </c>
      <c r="C120" s="139">
        <f t="shared" si="81"/>
        <v>0</v>
      </c>
      <c r="D120" s="139">
        <f t="shared" ref="D120:H120" si="101">(C120/C$100)*D$100</f>
        <v>0</v>
      </c>
      <c r="E120" s="139">
        <f t="shared" si="101"/>
        <v>0</v>
      </c>
      <c r="F120" s="139">
        <f t="shared" si="101"/>
        <v>0</v>
      </c>
      <c r="G120" s="139">
        <f t="shared" si="101"/>
        <v>0</v>
      </c>
      <c r="H120" s="139">
        <f t="shared" si="101"/>
        <v>0</v>
      </c>
    </row>
    <row r="121" spans="1:9" ht="15.75" customHeight="1">
      <c r="A121" s="139">
        <f t="shared" si="78"/>
        <v>0</v>
      </c>
      <c r="B121" s="139">
        <f t="shared" si="99"/>
        <v>0</v>
      </c>
      <c r="C121" s="139">
        <f t="shared" si="81"/>
        <v>0</v>
      </c>
      <c r="D121" s="139">
        <f t="shared" ref="D121:H121" si="102">(C121/C$100)*D$100</f>
        <v>0</v>
      </c>
      <c r="E121" s="139">
        <f t="shared" si="102"/>
        <v>0</v>
      </c>
      <c r="F121" s="139">
        <f t="shared" si="102"/>
        <v>0</v>
      </c>
      <c r="G121" s="139">
        <f t="shared" si="102"/>
        <v>0</v>
      </c>
      <c r="H121" s="139">
        <f t="shared" si="102"/>
        <v>0</v>
      </c>
    </row>
    <row r="122" spans="1:9" ht="15.75" customHeight="1">
      <c r="A122" s="139">
        <f t="shared" si="78"/>
        <v>0</v>
      </c>
      <c r="B122" s="139">
        <f t="shared" si="99"/>
        <v>0</v>
      </c>
      <c r="C122" s="139">
        <f t="shared" si="81"/>
        <v>0</v>
      </c>
      <c r="D122" s="139">
        <f t="shared" ref="D122:H122" si="103">(C122/C$100)*D$100</f>
        <v>0</v>
      </c>
      <c r="E122" s="139">
        <f t="shared" si="103"/>
        <v>0</v>
      </c>
      <c r="F122" s="139">
        <f t="shared" si="103"/>
        <v>0</v>
      </c>
      <c r="G122" s="139">
        <f t="shared" si="103"/>
        <v>0</v>
      </c>
      <c r="H122" s="139">
        <f t="shared" si="103"/>
        <v>0</v>
      </c>
    </row>
    <row r="123" spans="1:9" ht="15.75" customHeight="1">
      <c r="A123" s="139" t="str">
        <f t="shared" si="78"/>
        <v>Pomegranate</v>
      </c>
      <c r="B123" s="139">
        <f t="shared" si="99"/>
        <v>0</v>
      </c>
      <c r="C123" s="139">
        <f t="shared" si="81"/>
        <v>0</v>
      </c>
      <c r="D123" s="139">
        <f t="shared" ref="D123:H123" si="104">(C123/C$100)*D$100</f>
        <v>0</v>
      </c>
      <c r="E123" s="139">
        <f t="shared" si="104"/>
        <v>0</v>
      </c>
      <c r="F123" s="139">
        <f t="shared" si="104"/>
        <v>0</v>
      </c>
      <c r="G123" s="139">
        <f t="shared" si="104"/>
        <v>0</v>
      </c>
      <c r="H123" s="139">
        <f t="shared" si="104"/>
        <v>0</v>
      </c>
    </row>
    <row r="124" spans="1:9" ht="15.75" customHeight="1">
      <c r="A124" s="139" t="str">
        <f t="shared" si="78"/>
        <v>Custard Apple</v>
      </c>
      <c r="B124" s="139">
        <f t="shared" si="99"/>
        <v>0</v>
      </c>
      <c r="C124" s="139">
        <f t="shared" si="81"/>
        <v>0</v>
      </c>
      <c r="D124" s="139">
        <f t="shared" ref="D124:H124" si="105">(C124/C$100)*D$100</f>
        <v>0</v>
      </c>
      <c r="E124" s="139">
        <f t="shared" si="105"/>
        <v>0</v>
      </c>
      <c r="F124" s="139">
        <f t="shared" si="105"/>
        <v>0</v>
      </c>
      <c r="G124" s="139">
        <f t="shared" si="105"/>
        <v>0</v>
      </c>
      <c r="H124" s="139">
        <f t="shared" si="105"/>
        <v>0</v>
      </c>
    </row>
    <row r="125" spans="1:9" ht="15.75" customHeight="1">
      <c r="A125" s="139" t="str">
        <f t="shared" si="78"/>
        <v>Guava</v>
      </c>
      <c r="B125" s="139">
        <f t="shared" si="99"/>
        <v>0</v>
      </c>
      <c r="C125" s="139">
        <f t="shared" si="81"/>
        <v>0</v>
      </c>
      <c r="D125" s="139">
        <f t="shared" ref="D125:H125" si="106">(C125/C$100)*D$100</f>
        <v>0</v>
      </c>
      <c r="E125" s="139">
        <f t="shared" si="106"/>
        <v>0</v>
      </c>
      <c r="F125" s="139">
        <f t="shared" si="106"/>
        <v>0</v>
      </c>
      <c r="G125" s="139">
        <f t="shared" si="106"/>
        <v>0</v>
      </c>
      <c r="H125" s="139">
        <f t="shared" si="106"/>
        <v>0</v>
      </c>
    </row>
    <row r="126" spans="1:9" ht="15.75" customHeight="1">
      <c r="A126" s="139" t="str">
        <f t="shared" si="78"/>
        <v>Citrus</v>
      </c>
      <c r="B126" s="139">
        <f t="shared" si="99"/>
        <v>0</v>
      </c>
      <c r="C126" s="139">
        <f t="shared" si="81"/>
        <v>0</v>
      </c>
      <c r="D126" s="139">
        <f t="shared" ref="D126:H126" si="107">(C126/C$100)*D$100</f>
        <v>0</v>
      </c>
      <c r="E126" s="139">
        <f t="shared" si="107"/>
        <v>0</v>
      </c>
      <c r="F126" s="139">
        <f t="shared" si="107"/>
        <v>0</v>
      </c>
      <c r="G126" s="139">
        <f t="shared" si="107"/>
        <v>0</v>
      </c>
      <c r="H126" s="139">
        <f t="shared" si="107"/>
        <v>0</v>
      </c>
    </row>
    <row r="127" spans="1:9" ht="15.75" customHeight="1"/>
    <row r="128" spans="1:9" ht="15.75" customHeight="1">
      <c r="C128" s="158"/>
      <c r="D128" s="213"/>
      <c r="E128" s="213"/>
      <c r="F128" s="213"/>
      <c r="G128" s="213"/>
      <c r="H128" s="213"/>
      <c r="I128" s="213"/>
    </row>
    <row r="129" spans="1:9" ht="15.75" customHeight="1">
      <c r="A129" t="s">
        <v>528</v>
      </c>
      <c r="C129" s="48"/>
      <c r="D129" s="48"/>
      <c r="E129" s="48"/>
      <c r="F129" s="48"/>
      <c r="G129" s="48"/>
      <c r="H129" s="48"/>
      <c r="I129" s="48"/>
    </row>
    <row r="130" spans="1:9" ht="15.75" customHeight="1">
      <c r="A130">
        <v>1</v>
      </c>
      <c r="B130" t="s">
        <v>553</v>
      </c>
    </row>
    <row r="131" spans="1:9" ht="15.75" customHeight="1">
      <c r="A131">
        <v>2</v>
      </c>
      <c r="B131" t="s">
        <v>554</v>
      </c>
    </row>
    <row r="132" spans="1:9" ht="15.75" customHeight="1">
      <c r="A132">
        <v>3</v>
      </c>
      <c r="B132" t="s">
        <v>530</v>
      </c>
    </row>
  </sheetData>
  <mergeCells count="13">
    <mergeCell ref="A100:A101"/>
    <mergeCell ref="A37:A40"/>
    <mergeCell ref="A1:H1"/>
    <mergeCell ref="A44:A45"/>
    <mergeCell ref="A71:H71"/>
    <mergeCell ref="A72:A73"/>
    <mergeCell ref="A99:H99"/>
    <mergeCell ref="A3:B3"/>
    <mergeCell ref="A11:H11"/>
    <mergeCell ref="A14:A22"/>
    <mergeCell ref="A24:A31"/>
    <mergeCell ref="A43:H43"/>
    <mergeCell ref="A41:H41"/>
  </mergeCells>
  <pageMargins left="0.7" right="0.7" top="0.75" bottom="0.75" header="0" footer="0"/>
  <pageSetup paperSize="9" scale="55" orientation="landscape" r:id="rId1"/>
  <rowBreaks count="2" manualBreakCount="2">
    <brk id="42" max="7" man="1"/>
    <brk id="98" max="7" man="1"/>
  </rowBreaks>
</worksheet>
</file>

<file path=xl/worksheets/sheet13.xml><?xml version="1.0" encoding="utf-8"?>
<worksheet xmlns="http://schemas.openxmlformats.org/spreadsheetml/2006/main" xmlns:r="http://schemas.openxmlformats.org/officeDocument/2006/relationships">
  <dimension ref="A1:T310"/>
  <sheetViews>
    <sheetView view="pageBreakPreview" topLeftCell="A286" zoomScale="104" zoomScaleSheetLayoutView="104" workbookViewId="0">
      <selection activeCell="D291" sqref="D291"/>
    </sheetView>
  </sheetViews>
  <sheetFormatPr defaultColWidth="14.42578125" defaultRowHeight="15" customHeight="1"/>
  <cols>
    <col min="1" max="1" width="42.42578125" customWidth="1"/>
    <col min="2" max="2" width="14.42578125" customWidth="1"/>
    <col min="3" max="3" width="9.7109375" customWidth="1"/>
    <col min="4" max="10" width="12.140625" bestFit="1" customWidth="1"/>
    <col min="11" max="11" width="10.5703125" hidden="1" customWidth="1"/>
    <col min="12" max="12" width="8.7109375" customWidth="1"/>
    <col min="13" max="13" width="22.85546875" customWidth="1"/>
    <col min="14" max="14" width="12.85546875" customWidth="1"/>
    <col min="15" max="20" width="8.7109375" customWidth="1"/>
  </cols>
  <sheetData>
    <row r="1" spans="1:10" ht="18.75">
      <c r="A1" s="340" t="s">
        <v>730</v>
      </c>
      <c r="B1" s="324"/>
      <c r="C1" s="324"/>
      <c r="D1" s="324"/>
      <c r="E1" s="324"/>
      <c r="F1" s="324"/>
      <c r="G1" s="324"/>
      <c r="H1" s="324"/>
    </row>
    <row r="2" spans="1:10" ht="18.75">
      <c r="A2" s="340" t="s">
        <v>555</v>
      </c>
      <c r="B2" s="324"/>
      <c r="C2" s="324"/>
      <c r="D2" s="324"/>
      <c r="E2" s="324"/>
      <c r="F2" s="324"/>
      <c r="G2" s="324"/>
      <c r="H2" s="324"/>
    </row>
    <row r="3" spans="1:10">
      <c r="B3" s="73"/>
      <c r="C3" s="73"/>
      <c r="D3" s="73"/>
      <c r="E3" s="73"/>
      <c r="F3" s="342" t="s">
        <v>556</v>
      </c>
      <c r="G3" s="324"/>
      <c r="H3" s="324"/>
    </row>
    <row r="4" spans="1:10">
      <c r="A4" s="73" t="s">
        <v>124</v>
      </c>
      <c r="B4" s="263">
        <v>40</v>
      </c>
      <c r="C4" s="73" t="s">
        <v>557</v>
      </c>
      <c r="D4" s="73"/>
      <c r="E4" s="73"/>
      <c r="F4" s="243" t="s">
        <v>558</v>
      </c>
      <c r="G4" s="243" t="s">
        <v>559</v>
      </c>
      <c r="H4" s="73"/>
    </row>
    <row r="5" spans="1:10">
      <c r="A5" s="73" t="s">
        <v>560</v>
      </c>
      <c r="B5" s="121">
        <v>8</v>
      </c>
      <c r="C5" s="73"/>
      <c r="D5" s="73"/>
      <c r="E5" s="73"/>
      <c r="F5" s="139" t="s">
        <v>561</v>
      </c>
      <c r="G5" s="264">
        <v>0.03</v>
      </c>
      <c r="H5" s="73"/>
    </row>
    <row r="6" spans="1:10" ht="34.5" customHeight="1">
      <c r="A6" s="73"/>
      <c r="B6" s="73"/>
      <c r="C6" s="73"/>
      <c r="D6" s="73"/>
      <c r="E6" s="73"/>
      <c r="F6" s="7" t="s">
        <v>562</v>
      </c>
      <c r="G6" s="264">
        <v>0</v>
      </c>
      <c r="H6" s="73"/>
    </row>
    <row r="7" spans="1:10">
      <c r="A7" s="73" t="s">
        <v>563</v>
      </c>
      <c r="B7" s="73">
        <v>300</v>
      </c>
      <c r="C7" s="73"/>
      <c r="D7" s="73"/>
      <c r="E7" s="73"/>
      <c r="F7" s="139"/>
      <c r="G7" s="264"/>
      <c r="H7" s="73"/>
    </row>
    <row r="8" spans="1:10">
      <c r="A8" s="76" t="s">
        <v>142</v>
      </c>
      <c r="B8" s="77" t="s">
        <v>145</v>
      </c>
      <c r="C8" s="77" t="s">
        <v>146</v>
      </c>
      <c r="D8" s="77" t="s">
        <v>147</v>
      </c>
      <c r="E8" s="77" t="s">
        <v>148</v>
      </c>
      <c r="F8" s="77" t="s">
        <v>149</v>
      </c>
      <c r="G8" s="77" t="s">
        <v>150</v>
      </c>
      <c r="H8" s="77" t="s">
        <v>151</v>
      </c>
    </row>
    <row r="9" spans="1:10">
      <c r="A9" s="78" t="s">
        <v>564</v>
      </c>
      <c r="B9" s="239">
        <f>B32/($B$4*$B$5)</f>
        <v>19.37109375</v>
      </c>
      <c r="C9" s="239">
        <f t="shared" ref="C9:H9" si="0">C32/($B$4*$B$5)</f>
        <v>20.339648437500003</v>
      </c>
      <c r="D9" s="239">
        <f t="shared" si="0"/>
        <v>21.356630859375002</v>
      </c>
      <c r="E9" s="239">
        <f t="shared" si="0"/>
        <v>22.424462402343753</v>
      </c>
      <c r="F9" s="239">
        <f t="shared" si="0"/>
        <v>23.545685522460943</v>
      </c>
      <c r="G9" s="239">
        <f t="shared" si="0"/>
        <v>24.722969798583986</v>
      </c>
      <c r="H9" s="239">
        <f t="shared" si="0"/>
        <v>25.959118288513185</v>
      </c>
      <c r="I9" s="321"/>
      <c r="J9" s="157"/>
    </row>
    <row r="10" spans="1:10">
      <c r="A10" s="265" t="str">
        <f>'10.Grain Production details'!A42</f>
        <v>Soybean</v>
      </c>
      <c r="B10" s="265">
        <f>'10.Grain Production details'!B42</f>
        <v>0</v>
      </c>
      <c r="C10" s="265">
        <f>'10.Grain Production details'!C42</f>
        <v>0</v>
      </c>
      <c r="D10" s="265">
        <f>'10.Grain Production details'!D42</f>
        <v>0</v>
      </c>
      <c r="E10" s="265">
        <f>'10.Grain Production details'!E42</f>
        <v>0</v>
      </c>
      <c r="F10" s="265">
        <f>'10.Grain Production details'!F42</f>
        <v>0</v>
      </c>
      <c r="G10" s="265">
        <f>'10.Grain Production details'!G42</f>
        <v>0</v>
      </c>
      <c r="H10" s="265">
        <f>'10.Grain Production details'!H42</f>
        <v>0</v>
      </c>
    </row>
    <row r="11" spans="1:10">
      <c r="A11" s="265" t="str">
        <f>'10.Grain Production details'!A43</f>
        <v>Red Gram/Tur</v>
      </c>
      <c r="B11" s="265">
        <f>'10.Grain Production details'!B43</f>
        <v>0</v>
      </c>
      <c r="C11" s="265">
        <f>'10.Grain Production details'!C43</f>
        <v>0</v>
      </c>
      <c r="D11" s="265">
        <f>'10.Grain Production details'!D43</f>
        <v>0</v>
      </c>
      <c r="E11" s="265">
        <f>'10.Grain Production details'!E43</f>
        <v>0</v>
      </c>
      <c r="F11" s="265">
        <f>'10.Grain Production details'!F43</f>
        <v>0</v>
      </c>
      <c r="G11" s="265">
        <f>'10.Grain Production details'!G43</f>
        <v>0</v>
      </c>
      <c r="H11" s="265">
        <f>'10.Grain Production details'!H43</f>
        <v>0</v>
      </c>
    </row>
    <row r="12" spans="1:10">
      <c r="A12" s="265" t="str">
        <f>'10.Grain Production details'!A44</f>
        <v>Paddy/Rice</v>
      </c>
      <c r="B12" s="265">
        <f>'10.Grain Production details'!B44</f>
        <v>6198.75</v>
      </c>
      <c r="C12" s="265">
        <f>'10.Grain Production details'!C44</f>
        <v>6508.6875000000009</v>
      </c>
      <c r="D12" s="265">
        <f>'10.Grain Production details'!D44</f>
        <v>6834.1218750000007</v>
      </c>
      <c r="E12" s="265">
        <f>'10.Grain Production details'!E44</f>
        <v>7175.8279687500008</v>
      </c>
      <c r="F12" s="265">
        <f>'10.Grain Production details'!F44</f>
        <v>7534.6193671875017</v>
      </c>
      <c r="G12" s="265">
        <f>'10.Grain Production details'!G44</f>
        <v>7911.3503355468756</v>
      </c>
      <c r="H12" s="265">
        <f>'10.Grain Production details'!H44</f>
        <v>8306.917852324219</v>
      </c>
    </row>
    <row r="13" spans="1:10">
      <c r="A13" s="265" t="str">
        <f>'10.Grain Production details'!A45</f>
        <v>Green Gram/ Moong</v>
      </c>
      <c r="B13" s="265">
        <f>'10.Grain Production details'!B45</f>
        <v>0</v>
      </c>
      <c r="C13" s="265">
        <f>'10.Grain Production details'!C45</f>
        <v>0</v>
      </c>
      <c r="D13" s="265">
        <f>'10.Grain Production details'!D45</f>
        <v>0</v>
      </c>
      <c r="E13" s="265">
        <f>'10.Grain Production details'!E45</f>
        <v>0</v>
      </c>
      <c r="F13" s="265">
        <f>'10.Grain Production details'!F45</f>
        <v>0</v>
      </c>
      <c r="G13" s="265">
        <f>'10.Grain Production details'!G45</f>
        <v>0</v>
      </c>
      <c r="H13" s="265">
        <f>'10.Grain Production details'!H45</f>
        <v>0</v>
      </c>
    </row>
    <row r="14" spans="1:10">
      <c r="A14" s="265" t="str">
        <f>'10.Grain Production details'!A46</f>
        <v>Maize</v>
      </c>
      <c r="B14" s="265">
        <f>'10.Grain Production details'!B46</f>
        <v>0</v>
      </c>
      <c r="C14" s="265">
        <f>'10.Grain Production details'!C46</f>
        <v>0</v>
      </c>
      <c r="D14" s="265">
        <f>'10.Grain Production details'!D46</f>
        <v>0</v>
      </c>
      <c r="E14" s="265">
        <f>'10.Grain Production details'!E46</f>
        <v>0</v>
      </c>
      <c r="F14" s="265">
        <f>'10.Grain Production details'!F46</f>
        <v>0</v>
      </c>
      <c r="G14" s="265">
        <f>'10.Grain Production details'!G46</f>
        <v>0</v>
      </c>
      <c r="H14" s="265">
        <f>'10.Grain Production details'!H46</f>
        <v>0</v>
      </c>
    </row>
    <row r="15" spans="1:10">
      <c r="A15" s="265" t="str">
        <f>'10.Grain Production details'!A47</f>
        <v>Black Gram/Udid</v>
      </c>
      <c r="B15" s="265">
        <f>'10.Grain Production details'!B47</f>
        <v>0</v>
      </c>
      <c r="C15" s="265">
        <f>'10.Grain Production details'!C47</f>
        <v>0</v>
      </c>
      <c r="D15" s="265">
        <f>'10.Grain Production details'!D47</f>
        <v>0</v>
      </c>
      <c r="E15" s="265">
        <f>'10.Grain Production details'!E47</f>
        <v>0</v>
      </c>
      <c r="F15" s="265">
        <f>'10.Grain Production details'!F47</f>
        <v>0</v>
      </c>
      <c r="G15" s="265">
        <f>'10.Grain Production details'!G47</f>
        <v>0</v>
      </c>
      <c r="H15" s="265">
        <f>'10.Grain Production details'!H47</f>
        <v>0</v>
      </c>
    </row>
    <row r="16" spans="1:10">
      <c r="A16" s="265" t="str">
        <f>'10.Grain Production details'!A48</f>
        <v>Bajra</v>
      </c>
      <c r="B16" s="265">
        <f>'10.Grain Production details'!B48</f>
        <v>0</v>
      </c>
      <c r="C16" s="265">
        <f>'10.Grain Production details'!C48</f>
        <v>0</v>
      </c>
      <c r="D16" s="265">
        <f>'10.Grain Production details'!D48</f>
        <v>0</v>
      </c>
      <c r="E16" s="265">
        <f>'10.Grain Production details'!E48</f>
        <v>0</v>
      </c>
      <c r="F16" s="265">
        <f>'10.Grain Production details'!F48</f>
        <v>0</v>
      </c>
      <c r="G16" s="265">
        <f>'10.Grain Production details'!G48</f>
        <v>0</v>
      </c>
      <c r="H16" s="265">
        <f>'10.Grain Production details'!H48</f>
        <v>0</v>
      </c>
    </row>
    <row r="17" spans="1:8">
      <c r="A17" s="265" t="str">
        <f>'10.Grain Production details'!A49</f>
        <v>Jawar</v>
      </c>
      <c r="B17" s="265">
        <f>'10.Grain Production details'!B49</f>
        <v>0</v>
      </c>
      <c r="C17" s="265">
        <f>'10.Grain Production details'!C49</f>
        <v>0</v>
      </c>
      <c r="D17" s="265">
        <f>'10.Grain Production details'!D49</f>
        <v>0</v>
      </c>
      <c r="E17" s="265">
        <f>'10.Grain Production details'!E49</f>
        <v>0</v>
      </c>
      <c r="F17" s="265">
        <f>'10.Grain Production details'!F49</f>
        <v>0</v>
      </c>
      <c r="G17" s="265">
        <f>'10.Grain Production details'!G49</f>
        <v>0</v>
      </c>
      <c r="H17" s="265">
        <f>'10.Grain Production details'!H49</f>
        <v>0</v>
      </c>
    </row>
    <row r="18" spans="1:8">
      <c r="A18" s="265" t="str">
        <f>'10.Grain Production details'!A50</f>
        <v>Sunflower</v>
      </c>
      <c r="B18" s="265">
        <f>'10.Grain Production details'!B50</f>
        <v>0</v>
      </c>
      <c r="C18" s="265">
        <f>'10.Grain Production details'!C50</f>
        <v>0</v>
      </c>
      <c r="D18" s="265">
        <f>'10.Grain Production details'!D50</f>
        <v>0</v>
      </c>
      <c r="E18" s="265">
        <f>'10.Grain Production details'!E50</f>
        <v>0</v>
      </c>
      <c r="F18" s="265">
        <f>'10.Grain Production details'!F50</f>
        <v>0</v>
      </c>
      <c r="G18" s="265">
        <f>'10.Grain Production details'!G50</f>
        <v>0</v>
      </c>
      <c r="H18" s="265">
        <f>'10.Grain Production details'!H50</f>
        <v>0</v>
      </c>
    </row>
    <row r="19" spans="1:8">
      <c r="A19" s="265" t="str">
        <f>'10.Grain Production details'!A51</f>
        <v>Wheat</v>
      </c>
      <c r="B19" s="265">
        <f>'10.Grain Production details'!B51</f>
        <v>0</v>
      </c>
      <c r="C19" s="265">
        <f>'10.Grain Production details'!C51</f>
        <v>0</v>
      </c>
      <c r="D19" s="265">
        <f>'10.Grain Production details'!D51</f>
        <v>0</v>
      </c>
      <c r="E19" s="265">
        <f>'10.Grain Production details'!E51</f>
        <v>0</v>
      </c>
      <c r="F19" s="265">
        <f>'10.Grain Production details'!F51</f>
        <v>0</v>
      </c>
      <c r="G19" s="265">
        <f>'10.Grain Production details'!G51</f>
        <v>0</v>
      </c>
      <c r="H19" s="265">
        <f>'10.Grain Production details'!H51</f>
        <v>0</v>
      </c>
    </row>
    <row r="20" spans="1:8" ht="15.75" customHeight="1">
      <c r="A20" s="265" t="str">
        <f>'10.Grain Production details'!A52</f>
        <v>Bengal Gram/Channa</v>
      </c>
      <c r="B20" s="265">
        <f>'10.Grain Production details'!B52</f>
        <v>0</v>
      </c>
      <c r="C20" s="265">
        <f>'10.Grain Production details'!C52</f>
        <v>0</v>
      </c>
      <c r="D20" s="265">
        <f>'10.Grain Production details'!D52</f>
        <v>0</v>
      </c>
      <c r="E20" s="265">
        <f>'10.Grain Production details'!E52</f>
        <v>0</v>
      </c>
      <c r="F20" s="265">
        <f>'10.Grain Production details'!F52</f>
        <v>0</v>
      </c>
      <c r="G20" s="265">
        <f>'10.Grain Production details'!G52</f>
        <v>0</v>
      </c>
      <c r="H20" s="265">
        <f>'10.Grain Production details'!H52</f>
        <v>0</v>
      </c>
    </row>
    <row r="21" spans="1:8" ht="15.75" customHeight="1">
      <c r="A21" s="265" t="str">
        <f>'10.Grain Production details'!A53</f>
        <v>Jawar</v>
      </c>
      <c r="B21" s="265">
        <f>'10.Grain Production details'!B53</f>
        <v>0</v>
      </c>
      <c r="C21" s="265">
        <f>'10.Grain Production details'!C53</f>
        <v>0</v>
      </c>
      <c r="D21" s="265">
        <f>'10.Grain Production details'!D53</f>
        <v>0</v>
      </c>
      <c r="E21" s="265">
        <f>'10.Grain Production details'!E53</f>
        <v>0</v>
      </c>
      <c r="F21" s="265">
        <f>'10.Grain Production details'!F53</f>
        <v>0</v>
      </c>
      <c r="G21" s="265">
        <f>'10.Grain Production details'!G53</f>
        <v>0</v>
      </c>
      <c r="H21" s="265">
        <f>'10.Grain Production details'!H53</f>
        <v>0</v>
      </c>
    </row>
    <row r="22" spans="1:8" ht="15.75" customHeight="1">
      <c r="A22" s="265" t="str">
        <f>'10.Grain Production details'!A54</f>
        <v>Maize</v>
      </c>
      <c r="B22" s="265">
        <f>'10.Grain Production details'!B54</f>
        <v>0</v>
      </c>
      <c r="C22" s="265">
        <f>'10.Grain Production details'!C54</f>
        <v>0</v>
      </c>
      <c r="D22" s="265">
        <f>'10.Grain Production details'!D54</f>
        <v>0</v>
      </c>
      <c r="E22" s="265">
        <f>'10.Grain Production details'!E54</f>
        <v>0</v>
      </c>
      <c r="F22" s="265">
        <f>'10.Grain Production details'!F54</f>
        <v>0</v>
      </c>
      <c r="G22" s="265">
        <f>'10.Grain Production details'!G54</f>
        <v>0</v>
      </c>
      <c r="H22" s="265">
        <f>'10.Grain Production details'!H54</f>
        <v>0</v>
      </c>
    </row>
    <row r="23" spans="1:8" ht="15.75" customHeight="1">
      <c r="A23" s="265" t="str">
        <f>'10.Grain Production details'!A55</f>
        <v>Safflower</v>
      </c>
      <c r="B23" s="265">
        <f>'10.Grain Production details'!B55</f>
        <v>0</v>
      </c>
      <c r="C23" s="265">
        <f>'10.Grain Production details'!C55</f>
        <v>0</v>
      </c>
      <c r="D23" s="265">
        <f>'10.Grain Production details'!D55</f>
        <v>0</v>
      </c>
      <c r="E23" s="265">
        <f>'10.Grain Production details'!E55</f>
        <v>0</v>
      </c>
      <c r="F23" s="265">
        <f>'10.Grain Production details'!F55</f>
        <v>0</v>
      </c>
      <c r="G23" s="265">
        <f>'10.Grain Production details'!G55</f>
        <v>0</v>
      </c>
      <c r="H23" s="265">
        <f>'10.Grain Production details'!H55</f>
        <v>0</v>
      </c>
    </row>
    <row r="24" spans="1:8" ht="15.75" customHeight="1">
      <c r="A24" s="265">
        <f>'10.Grain Production details'!A56</f>
        <v>0</v>
      </c>
      <c r="B24" s="265">
        <f>'10.Grain Production details'!B56</f>
        <v>0</v>
      </c>
      <c r="C24" s="265">
        <f>'10.Grain Production details'!C56</f>
        <v>0</v>
      </c>
      <c r="D24" s="265">
        <f>'10.Grain Production details'!D56</f>
        <v>0</v>
      </c>
      <c r="E24" s="265">
        <f>'10.Grain Production details'!E56</f>
        <v>0</v>
      </c>
      <c r="F24" s="265">
        <f>'10.Grain Production details'!F56</f>
        <v>0</v>
      </c>
      <c r="G24" s="265">
        <f>'10.Grain Production details'!G56</f>
        <v>0</v>
      </c>
      <c r="H24" s="265">
        <f>'10.Grain Production details'!H56</f>
        <v>0</v>
      </c>
    </row>
    <row r="25" spans="1:8" ht="15.75" customHeight="1">
      <c r="A25" s="265">
        <f>'10.Grain Production details'!A57</f>
        <v>0</v>
      </c>
      <c r="B25" s="265">
        <f>'10.Grain Production details'!B57</f>
        <v>0</v>
      </c>
      <c r="C25" s="265">
        <f>'10.Grain Production details'!C57</f>
        <v>0</v>
      </c>
      <c r="D25" s="265">
        <f>'10.Grain Production details'!D57</f>
        <v>0</v>
      </c>
      <c r="E25" s="265">
        <f>'10.Grain Production details'!E57</f>
        <v>0</v>
      </c>
      <c r="F25" s="265">
        <f>'10.Grain Production details'!F57</f>
        <v>0</v>
      </c>
      <c r="G25" s="265">
        <f>'10.Grain Production details'!G57</f>
        <v>0</v>
      </c>
      <c r="H25" s="265">
        <f>'10.Grain Production details'!H57</f>
        <v>0</v>
      </c>
    </row>
    <row r="26" spans="1:8" ht="15.75" customHeight="1">
      <c r="A26" s="265">
        <f>'10.Grain Production details'!A58</f>
        <v>0</v>
      </c>
      <c r="B26" s="265">
        <f>'10.Grain Production details'!B58</f>
        <v>0</v>
      </c>
      <c r="C26" s="265">
        <f>'10.Grain Production details'!C58</f>
        <v>0</v>
      </c>
      <c r="D26" s="265">
        <f>'10.Grain Production details'!D58</f>
        <v>0</v>
      </c>
      <c r="E26" s="265">
        <f>'10.Grain Production details'!E58</f>
        <v>0</v>
      </c>
      <c r="F26" s="265">
        <f>'10.Grain Production details'!F58</f>
        <v>0</v>
      </c>
      <c r="G26" s="265">
        <f>'10.Grain Production details'!G58</f>
        <v>0</v>
      </c>
      <c r="H26" s="265">
        <f>'10.Grain Production details'!H58</f>
        <v>0</v>
      </c>
    </row>
    <row r="27" spans="1:8" ht="15.75" customHeight="1">
      <c r="A27" s="265" t="str">
        <f>'10.Grain Production details'!A59</f>
        <v>Groundnut</v>
      </c>
      <c r="B27" s="265">
        <f>'10.Grain Production details'!B59</f>
        <v>0</v>
      </c>
      <c r="C27" s="265">
        <f>'10.Grain Production details'!C59</f>
        <v>0</v>
      </c>
      <c r="D27" s="265">
        <f>'10.Grain Production details'!D59</f>
        <v>0</v>
      </c>
      <c r="E27" s="265">
        <f>'10.Grain Production details'!E59</f>
        <v>0</v>
      </c>
      <c r="F27" s="265">
        <f>'10.Grain Production details'!F59</f>
        <v>0</v>
      </c>
      <c r="G27" s="265">
        <f>'10.Grain Production details'!G59</f>
        <v>0</v>
      </c>
      <c r="H27" s="265">
        <f>'10.Grain Production details'!H59</f>
        <v>0</v>
      </c>
    </row>
    <row r="28" spans="1:8" ht="15.75" customHeight="1">
      <c r="A28" s="265">
        <f>'10.Grain Production details'!A60</f>
        <v>0</v>
      </c>
      <c r="B28" s="265">
        <f>'10.Grain Production details'!B60</f>
        <v>0</v>
      </c>
      <c r="C28" s="265">
        <f>'10.Grain Production details'!C60</f>
        <v>0</v>
      </c>
      <c r="D28" s="265">
        <f>'10.Grain Production details'!D60</f>
        <v>0</v>
      </c>
      <c r="E28" s="265">
        <f>'10.Grain Production details'!E60</f>
        <v>0</v>
      </c>
      <c r="F28" s="265">
        <f>'10.Grain Production details'!F60</f>
        <v>0</v>
      </c>
      <c r="G28" s="265">
        <f>'10.Grain Production details'!G60</f>
        <v>0</v>
      </c>
      <c r="H28" s="265">
        <f>'10.Grain Production details'!H60</f>
        <v>0</v>
      </c>
    </row>
    <row r="29" spans="1:8" ht="15.75" customHeight="1">
      <c r="A29" s="265">
        <f>'10.Grain Production details'!A61</f>
        <v>0</v>
      </c>
      <c r="B29" s="265">
        <f>'10.Grain Production details'!B61</f>
        <v>0</v>
      </c>
      <c r="C29" s="265">
        <f>'10.Grain Production details'!C61</f>
        <v>0</v>
      </c>
      <c r="D29" s="265">
        <f>'10.Grain Production details'!D61</f>
        <v>0</v>
      </c>
      <c r="E29" s="265">
        <f>'10.Grain Production details'!E61</f>
        <v>0</v>
      </c>
      <c r="F29" s="265">
        <f>'10.Grain Production details'!F61</f>
        <v>0</v>
      </c>
      <c r="G29" s="265">
        <f>'10.Grain Production details'!G61</f>
        <v>0</v>
      </c>
      <c r="H29" s="265">
        <f>'10.Grain Production details'!H61</f>
        <v>0</v>
      </c>
    </row>
    <row r="30" spans="1:8" ht="15.75" customHeight="1">
      <c r="A30" s="265">
        <f>'10.Grain Production details'!A62</f>
        <v>0</v>
      </c>
      <c r="B30" s="265">
        <f>'10.Grain Production details'!B62</f>
        <v>0</v>
      </c>
      <c r="C30" s="265">
        <f>'10.Grain Production details'!C62</f>
        <v>0</v>
      </c>
      <c r="D30" s="265">
        <f>'10.Grain Production details'!D62</f>
        <v>0</v>
      </c>
      <c r="E30" s="265">
        <f>'10.Grain Production details'!E62</f>
        <v>0</v>
      </c>
      <c r="F30" s="265">
        <f>'10.Grain Production details'!F62</f>
        <v>0</v>
      </c>
      <c r="G30" s="265">
        <f>'10.Grain Production details'!G62</f>
        <v>0</v>
      </c>
      <c r="H30" s="265">
        <f>'10.Grain Production details'!H62</f>
        <v>0</v>
      </c>
    </row>
    <row r="31" spans="1:8" ht="15.75" customHeight="1">
      <c r="A31" s="265">
        <f>'10.Grain Production details'!B63</f>
        <v>0</v>
      </c>
      <c r="B31" s="265">
        <f>'10.Grain Production details'!C63</f>
        <v>0</v>
      </c>
      <c r="C31" s="265">
        <f>'10.Grain Production details'!D63</f>
        <v>0</v>
      </c>
      <c r="D31" s="265">
        <f>'10.Grain Production details'!E63</f>
        <v>0</v>
      </c>
      <c r="E31" s="265">
        <f>'10.Grain Production details'!F63</f>
        <v>0</v>
      </c>
      <c r="F31" s="265">
        <f>'10.Grain Production details'!G63</f>
        <v>0</v>
      </c>
      <c r="G31" s="265">
        <f>'10.Grain Production details'!H63</f>
        <v>0</v>
      </c>
      <c r="H31" s="265">
        <f>'10.Grain Production details'!I63</f>
        <v>0</v>
      </c>
    </row>
    <row r="32" spans="1:8" ht="15.75" customHeight="1">
      <c r="A32" s="81" t="s">
        <v>565</v>
      </c>
      <c r="B32" s="265">
        <f>SUM(B10:B31)</f>
        <v>6198.75</v>
      </c>
      <c r="C32" s="265">
        <f>SUM(C10:C31)</f>
        <v>6508.6875000000009</v>
      </c>
      <c r="D32" s="265">
        <f t="shared" ref="D32:H32" si="1">SUM(D10:D31)</f>
        <v>6834.1218750000007</v>
      </c>
      <c r="E32" s="265">
        <f t="shared" si="1"/>
        <v>7175.8279687500008</v>
      </c>
      <c r="F32" s="265">
        <f t="shared" si="1"/>
        <v>7534.6193671875017</v>
      </c>
      <c r="G32" s="265">
        <f t="shared" si="1"/>
        <v>7911.3503355468756</v>
      </c>
      <c r="H32" s="265">
        <f t="shared" si="1"/>
        <v>8306.917852324219</v>
      </c>
    </row>
    <row r="33" spans="1:8" ht="15.75" customHeight="1">
      <c r="A33" s="265" t="str">
        <f>'11.F&amp;V Crop Production details'!A1:H1</f>
        <v>Fruit  &amp; Vegetables Crop Production Details</v>
      </c>
      <c r="B33" s="265"/>
      <c r="C33" s="265"/>
      <c r="D33" s="265"/>
      <c r="E33" s="265"/>
      <c r="F33" s="265"/>
      <c r="G33" s="265"/>
      <c r="H33" s="265"/>
    </row>
    <row r="34" spans="1:8" ht="15.75" customHeight="1">
      <c r="A34" s="265" t="str">
        <f>'11.F&amp;V Crop Production details'!A46</f>
        <v>Onion</v>
      </c>
      <c r="B34" s="265">
        <f>'11.F&amp;V Crop Production details'!B46</f>
        <v>0</v>
      </c>
      <c r="C34" s="265">
        <f>'11.F&amp;V Crop Production details'!C46</f>
        <v>0</v>
      </c>
      <c r="D34" s="265">
        <f>'11.F&amp;V Crop Production details'!D46</f>
        <v>0</v>
      </c>
      <c r="E34" s="265">
        <f>'11.F&amp;V Crop Production details'!E46</f>
        <v>0</v>
      </c>
      <c r="F34" s="265">
        <f>'11.F&amp;V Crop Production details'!F46</f>
        <v>0</v>
      </c>
      <c r="G34" s="265">
        <f>'11.F&amp;V Crop Production details'!G46</f>
        <v>0</v>
      </c>
      <c r="H34" s="265">
        <f>'11.F&amp;V Crop Production details'!H46</f>
        <v>0</v>
      </c>
    </row>
    <row r="35" spans="1:8" ht="15.75" customHeight="1">
      <c r="A35" s="265" t="str">
        <f>'11.F&amp;V Crop Production details'!A47</f>
        <v>Tomato</v>
      </c>
      <c r="B35" s="265">
        <f>'11.F&amp;V Crop Production details'!B47</f>
        <v>0</v>
      </c>
      <c r="C35" s="265">
        <f>'11.F&amp;V Crop Production details'!C47</f>
        <v>0</v>
      </c>
      <c r="D35" s="265">
        <f>'11.F&amp;V Crop Production details'!D47</f>
        <v>0</v>
      </c>
      <c r="E35" s="265">
        <f>'11.F&amp;V Crop Production details'!E47</f>
        <v>0</v>
      </c>
      <c r="F35" s="265">
        <f>'11.F&amp;V Crop Production details'!F47</f>
        <v>0</v>
      </c>
      <c r="G35" s="265">
        <f>'11.F&amp;V Crop Production details'!G47</f>
        <v>0</v>
      </c>
      <c r="H35" s="265">
        <f>'11.F&amp;V Crop Production details'!H47</f>
        <v>0</v>
      </c>
    </row>
    <row r="36" spans="1:8" ht="15.75" customHeight="1">
      <c r="A36" s="265" t="str">
        <f>'11.F&amp;V Crop Production details'!A48</f>
        <v>Okra</v>
      </c>
      <c r="B36" s="265">
        <f>'11.F&amp;V Crop Production details'!B48</f>
        <v>0</v>
      </c>
      <c r="C36" s="265">
        <f>'11.F&amp;V Crop Production details'!C48</f>
        <v>0</v>
      </c>
      <c r="D36" s="265">
        <f>'11.F&amp;V Crop Production details'!D48</f>
        <v>0</v>
      </c>
      <c r="E36" s="265">
        <f>'11.F&amp;V Crop Production details'!E48</f>
        <v>0</v>
      </c>
      <c r="F36" s="265">
        <f>'11.F&amp;V Crop Production details'!F48</f>
        <v>0</v>
      </c>
      <c r="G36" s="265">
        <f>'11.F&amp;V Crop Production details'!G48</f>
        <v>0</v>
      </c>
      <c r="H36" s="265">
        <f>'11.F&amp;V Crop Production details'!H48</f>
        <v>0</v>
      </c>
    </row>
    <row r="37" spans="1:8" ht="15.75" customHeight="1">
      <c r="A37" s="265" t="str">
        <f>'11.F&amp;V Crop Production details'!A49</f>
        <v>Chilli</v>
      </c>
      <c r="B37" s="265">
        <f>'11.F&amp;V Crop Production details'!B49</f>
        <v>0</v>
      </c>
      <c r="C37" s="265">
        <f>'11.F&amp;V Crop Production details'!C49</f>
        <v>0</v>
      </c>
      <c r="D37" s="265">
        <f>'11.F&amp;V Crop Production details'!D49</f>
        <v>0</v>
      </c>
      <c r="E37" s="265">
        <f>'11.F&amp;V Crop Production details'!E49</f>
        <v>0</v>
      </c>
      <c r="F37" s="265">
        <f>'11.F&amp;V Crop Production details'!F49</f>
        <v>0</v>
      </c>
      <c r="G37" s="265">
        <f>'11.F&amp;V Crop Production details'!G49</f>
        <v>0</v>
      </c>
      <c r="H37" s="265">
        <f>'11.F&amp;V Crop Production details'!H49</f>
        <v>0</v>
      </c>
    </row>
    <row r="38" spans="1:8" ht="15.75" customHeight="1">
      <c r="A38" s="265" t="str">
        <f>'11.F&amp;V Crop Production details'!A50</f>
        <v>Potato</v>
      </c>
      <c r="B38" s="265">
        <f>'11.F&amp;V Crop Production details'!B50</f>
        <v>0</v>
      </c>
      <c r="C38" s="265">
        <f>'11.F&amp;V Crop Production details'!C50</f>
        <v>0</v>
      </c>
      <c r="D38" s="265">
        <f>'11.F&amp;V Crop Production details'!D50</f>
        <v>0</v>
      </c>
      <c r="E38" s="265">
        <f>'11.F&amp;V Crop Production details'!E50</f>
        <v>0</v>
      </c>
      <c r="F38" s="265">
        <f>'11.F&amp;V Crop Production details'!F50</f>
        <v>0</v>
      </c>
      <c r="G38" s="265">
        <f>'11.F&amp;V Crop Production details'!G50</f>
        <v>0</v>
      </c>
      <c r="H38" s="265">
        <f>'11.F&amp;V Crop Production details'!H50</f>
        <v>0</v>
      </c>
    </row>
    <row r="39" spans="1:8" ht="15.75" customHeight="1">
      <c r="A39" s="265">
        <f>'11.F&amp;V Crop Production details'!A51</f>
        <v>0</v>
      </c>
      <c r="B39" s="265">
        <f>'11.F&amp;V Crop Production details'!B51</f>
        <v>0</v>
      </c>
      <c r="C39" s="265">
        <f>'11.F&amp;V Crop Production details'!C51</f>
        <v>0</v>
      </c>
      <c r="D39" s="265">
        <f>'11.F&amp;V Crop Production details'!D51</f>
        <v>0</v>
      </c>
      <c r="E39" s="265">
        <f>'11.F&amp;V Crop Production details'!E51</f>
        <v>0</v>
      </c>
      <c r="F39" s="265">
        <f>'11.F&amp;V Crop Production details'!F51</f>
        <v>0</v>
      </c>
      <c r="G39" s="265">
        <f>'11.F&amp;V Crop Production details'!G51</f>
        <v>0</v>
      </c>
      <c r="H39" s="265">
        <f>'11.F&amp;V Crop Production details'!H51</f>
        <v>0</v>
      </c>
    </row>
    <row r="40" spans="1:8" ht="15.75" customHeight="1">
      <c r="A40" s="265">
        <f>'11.F&amp;V Crop Production details'!A52</f>
        <v>0</v>
      </c>
      <c r="B40" s="265">
        <f>'11.F&amp;V Crop Production details'!B52</f>
        <v>0</v>
      </c>
      <c r="C40" s="265">
        <f>'11.F&amp;V Crop Production details'!C52</f>
        <v>0</v>
      </c>
      <c r="D40" s="265">
        <f>'11.F&amp;V Crop Production details'!D52</f>
        <v>0</v>
      </c>
      <c r="E40" s="265">
        <f>'11.F&amp;V Crop Production details'!E52</f>
        <v>0</v>
      </c>
      <c r="F40" s="265">
        <f>'11.F&amp;V Crop Production details'!F52</f>
        <v>0</v>
      </c>
      <c r="G40" s="265">
        <f>'11.F&amp;V Crop Production details'!G52</f>
        <v>0</v>
      </c>
      <c r="H40" s="265">
        <f>'11.F&amp;V Crop Production details'!H52</f>
        <v>0</v>
      </c>
    </row>
    <row r="41" spans="1:8" ht="15.75" customHeight="1">
      <c r="A41" s="265">
        <f>'11.F&amp;V Crop Production details'!A53</f>
        <v>0</v>
      </c>
      <c r="B41" s="265">
        <f>'11.F&amp;V Crop Production details'!B53</f>
        <v>0</v>
      </c>
      <c r="C41" s="265">
        <f>'11.F&amp;V Crop Production details'!C53</f>
        <v>0</v>
      </c>
      <c r="D41" s="265">
        <f>'11.F&amp;V Crop Production details'!D53</f>
        <v>0</v>
      </c>
      <c r="E41" s="265">
        <f>'11.F&amp;V Crop Production details'!E53</f>
        <v>0</v>
      </c>
      <c r="F41" s="265">
        <f>'11.F&amp;V Crop Production details'!F53</f>
        <v>0</v>
      </c>
      <c r="G41" s="265">
        <f>'11.F&amp;V Crop Production details'!G53</f>
        <v>0</v>
      </c>
      <c r="H41" s="265">
        <f>'11.F&amp;V Crop Production details'!H53</f>
        <v>0</v>
      </c>
    </row>
    <row r="42" spans="1:8" ht="15.75" customHeight="1">
      <c r="A42" s="265">
        <f>'11.F&amp;V Crop Production details'!A54</f>
        <v>0</v>
      </c>
      <c r="B42" s="265">
        <f>'11.F&amp;V Crop Production details'!B54</f>
        <v>0</v>
      </c>
      <c r="C42" s="265">
        <f>'11.F&amp;V Crop Production details'!C54</f>
        <v>0</v>
      </c>
      <c r="D42" s="265">
        <f>'11.F&amp;V Crop Production details'!D54</f>
        <v>0</v>
      </c>
      <c r="E42" s="265">
        <f>'11.F&amp;V Crop Production details'!E54</f>
        <v>0</v>
      </c>
      <c r="F42" s="265">
        <f>'11.F&amp;V Crop Production details'!F54</f>
        <v>0</v>
      </c>
      <c r="G42" s="265">
        <f>'11.F&amp;V Crop Production details'!G54</f>
        <v>0</v>
      </c>
      <c r="H42" s="265">
        <f>'11.F&amp;V Crop Production details'!H54</f>
        <v>0</v>
      </c>
    </row>
    <row r="43" spans="1:8" ht="15.75" customHeight="1">
      <c r="A43" s="265" t="str">
        <f>'11.F&amp;V Crop Production details'!A55</f>
        <v>Onion</v>
      </c>
      <c r="B43" s="265">
        <f>'11.F&amp;V Crop Production details'!B55</f>
        <v>0</v>
      </c>
      <c r="C43" s="265">
        <f>'11.F&amp;V Crop Production details'!C55</f>
        <v>0</v>
      </c>
      <c r="D43" s="265">
        <f>'11.F&amp;V Crop Production details'!D55</f>
        <v>0</v>
      </c>
      <c r="E43" s="265">
        <f>'11.F&amp;V Crop Production details'!E55</f>
        <v>0</v>
      </c>
      <c r="F43" s="265">
        <f>'11.F&amp;V Crop Production details'!F55</f>
        <v>0</v>
      </c>
      <c r="G43" s="265">
        <f>'11.F&amp;V Crop Production details'!G55</f>
        <v>0</v>
      </c>
      <c r="H43" s="265">
        <f>'11.F&amp;V Crop Production details'!H55</f>
        <v>0</v>
      </c>
    </row>
    <row r="44" spans="1:8" ht="15.75" customHeight="1">
      <c r="A44" s="265" t="str">
        <f>'11.F&amp;V Crop Production details'!A56</f>
        <v>Tomato</v>
      </c>
      <c r="B44" s="265">
        <f>'11.F&amp;V Crop Production details'!B56</f>
        <v>0</v>
      </c>
      <c r="C44" s="265">
        <f>'11.F&amp;V Crop Production details'!C56</f>
        <v>0</v>
      </c>
      <c r="D44" s="265">
        <f>'11.F&amp;V Crop Production details'!D56</f>
        <v>0</v>
      </c>
      <c r="E44" s="265">
        <f>'11.F&amp;V Crop Production details'!E56</f>
        <v>0</v>
      </c>
      <c r="F44" s="265">
        <f>'11.F&amp;V Crop Production details'!F56</f>
        <v>0</v>
      </c>
      <c r="G44" s="265">
        <f>'11.F&amp;V Crop Production details'!G56</f>
        <v>0</v>
      </c>
      <c r="H44" s="265">
        <f>'11.F&amp;V Crop Production details'!H56</f>
        <v>0</v>
      </c>
    </row>
    <row r="45" spans="1:8" ht="15.75" customHeight="1">
      <c r="A45" s="265" t="str">
        <f>'11.F&amp;V Crop Production details'!A57</f>
        <v>Okra</v>
      </c>
      <c r="B45" s="265">
        <f>'11.F&amp;V Crop Production details'!B57</f>
        <v>0</v>
      </c>
      <c r="C45" s="265">
        <f>'11.F&amp;V Crop Production details'!C57</f>
        <v>0</v>
      </c>
      <c r="D45" s="265">
        <f>'11.F&amp;V Crop Production details'!D57</f>
        <v>0</v>
      </c>
      <c r="E45" s="265">
        <f>'11.F&amp;V Crop Production details'!E57</f>
        <v>0</v>
      </c>
      <c r="F45" s="265">
        <f>'11.F&amp;V Crop Production details'!F57</f>
        <v>0</v>
      </c>
      <c r="G45" s="265">
        <f>'11.F&amp;V Crop Production details'!G57</f>
        <v>0</v>
      </c>
      <c r="H45" s="265">
        <f>'11.F&amp;V Crop Production details'!H57</f>
        <v>0</v>
      </c>
    </row>
    <row r="46" spans="1:8" ht="15.75" customHeight="1">
      <c r="A46" s="265" t="str">
        <f>'11.F&amp;V Crop Production details'!A58</f>
        <v>Chilli</v>
      </c>
      <c r="B46" s="265">
        <f>'11.F&amp;V Crop Production details'!B58</f>
        <v>0</v>
      </c>
      <c r="C46" s="265">
        <f>'11.F&amp;V Crop Production details'!C58</f>
        <v>0</v>
      </c>
      <c r="D46" s="265">
        <f>'11.F&amp;V Crop Production details'!D58</f>
        <v>0</v>
      </c>
      <c r="E46" s="265">
        <f>'11.F&amp;V Crop Production details'!E58</f>
        <v>0</v>
      </c>
      <c r="F46" s="265">
        <f>'11.F&amp;V Crop Production details'!F58</f>
        <v>0</v>
      </c>
      <c r="G46" s="265">
        <f>'11.F&amp;V Crop Production details'!G58</f>
        <v>0</v>
      </c>
      <c r="H46" s="265">
        <f>'11.F&amp;V Crop Production details'!H58</f>
        <v>0</v>
      </c>
    </row>
    <row r="47" spans="1:8" ht="15.75" customHeight="1">
      <c r="A47" s="265" t="str">
        <f>'11.F&amp;V Crop Production details'!A59</f>
        <v>Brinjal</v>
      </c>
      <c r="B47" s="265">
        <f>'11.F&amp;V Crop Production details'!B59</f>
        <v>0</v>
      </c>
      <c r="C47" s="265">
        <f>'11.F&amp;V Crop Production details'!C59</f>
        <v>0</v>
      </c>
      <c r="D47" s="265">
        <f>'11.F&amp;V Crop Production details'!D59</f>
        <v>0</v>
      </c>
      <c r="E47" s="265">
        <f>'11.F&amp;V Crop Production details'!E59</f>
        <v>0</v>
      </c>
      <c r="F47" s="265">
        <f>'11.F&amp;V Crop Production details'!F59</f>
        <v>0</v>
      </c>
      <c r="G47" s="265">
        <f>'11.F&amp;V Crop Production details'!G59</f>
        <v>0</v>
      </c>
      <c r="H47" s="265">
        <f>'11.F&amp;V Crop Production details'!H59</f>
        <v>0</v>
      </c>
    </row>
    <row r="48" spans="1:8" ht="15.75" customHeight="1">
      <c r="A48" s="265">
        <f>'11.F&amp;V Crop Production details'!A60</f>
        <v>0</v>
      </c>
      <c r="B48" s="265">
        <f>'11.F&amp;V Crop Production details'!B60</f>
        <v>0</v>
      </c>
      <c r="C48" s="265">
        <f>'11.F&amp;V Crop Production details'!C60</f>
        <v>0</v>
      </c>
      <c r="D48" s="265">
        <f>'11.F&amp;V Crop Production details'!D60</f>
        <v>0</v>
      </c>
      <c r="E48" s="265">
        <f>'11.F&amp;V Crop Production details'!E60</f>
        <v>0</v>
      </c>
      <c r="F48" s="265">
        <f>'11.F&amp;V Crop Production details'!F60</f>
        <v>0</v>
      </c>
      <c r="G48" s="265">
        <f>'11.F&amp;V Crop Production details'!G60</f>
        <v>0</v>
      </c>
      <c r="H48" s="265">
        <f>'11.F&amp;V Crop Production details'!H60</f>
        <v>0</v>
      </c>
    </row>
    <row r="49" spans="1:8" ht="15.75" customHeight="1">
      <c r="A49" s="265">
        <f>'11.F&amp;V Crop Production details'!A61</f>
        <v>0</v>
      </c>
      <c r="B49" s="265">
        <f>'11.F&amp;V Crop Production details'!B61</f>
        <v>0</v>
      </c>
      <c r="C49" s="265">
        <f>'11.F&amp;V Crop Production details'!C61</f>
        <v>0</v>
      </c>
      <c r="D49" s="265">
        <f>'11.F&amp;V Crop Production details'!D61</f>
        <v>0</v>
      </c>
      <c r="E49" s="265">
        <f>'11.F&amp;V Crop Production details'!E61</f>
        <v>0</v>
      </c>
      <c r="F49" s="265">
        <f>'11.F&amp;V Crop Production details'!F61</f>
        <v>0</v>
      </c>
      <c r="G49" s="265">
        <f>'11.F&amp;V Crop Production details'!G61</f>
        <v>0</v>
      </c>
      <c r="H49" s="265">
        <f>'11.F&amp;V Crop Production details'!H61</f>
        <v>0</v>
      </c>
    </row>
    <row r="50" spans="1:8" ht="15.75" customHeight="1">
      <c r="A50" s="265">
        <f>'11.F&amp;V Crop Production details'!A62</f>
        <v>0</v>
      </c>
      <c r="B50" s="265">
        <f>'11.F&amp;V Crop Production details'!B62</f>
        <v>0</v>
      </c>
      <c r="C50" s="265">
        <f>'11.F&amp;V Crop Production details'!C62</f>
        <v>0</v>
      </c>
      <c r="D50" s="265">
        <f>'11.F&amp;V Crop Production details'!D62</f>
        <v>0</v>
      </c>
      <c r="E50" s="265">
        <f>'11.F&amp;V Crop Production details'!E62</f>
        <v>0</v>
      </c>
      <c r="F50" s="265">
        <f>'11.F&amp;V Crop Production details'!F62</f>
        <v>0</v>
      </c>
      <c r="G50" s="265">
        <f>'11.F&amp;V Crop Production details'!G62</f>
        <v>0</v>
      </c>
      <c r="H50" s="265">
        <f>'11.F&amp;V Crop Production details'!H62</f>
        <v>0</v>
      </c>
    </row>
    <row r="51" spans="1:8" ht="15.75" customHeight="1">
      <c r="A51" s="265">
        <f>'11.F&amp;V Crop Production details'!A63</f>
        <v>0</v>
      </c>
      <c r="B51" s="265">
        <f>'11.F&amp;V Crop Production details'!B63</f>
        <v>0</v>
      </c>
      <c r="C51" s="265">
        <f>'11.F&amp;V Crop Production details'!C63</f>
        <v>0</v>
      </c>
      <c r="D51" s="265">
        <f>'11.F&amp;V Crop Production details'!D63</f>
        <v>0</v>
      </c>
      <c r="E51" s="265">
        <f>'11.F&amp;V Crop Production details'!E63</f>
        <v>0</v>
      </c>
      <c r="F51" s="265">
        <f>'11.F&amp;V Crop Production details'!F63</f>
        <v>0</v>
      </c>
      <c r="G51" s="265">
        <f>'11.F&amp;V Crop Production details'!G63</f>
        <v>0</v>
      </c>
      <c r="H51" s="265">
        <f>'11.F&amp;V Crop Production details'!H63</f>
        <v>0</v>
      </c>
    </row>
    <row r="52" spans="1:8" ht="15.75" customHeight="1">
      <c r="A52" s="265">
        <f>'11.F&amp;V Crop Production details'!A64</f>
        <v>0</v>
      </c>
      <c r="B52" s="265"/>
      <c r="C52" s="265"/>
      <c r="D52" s="265"/>
      <c r="E52" s="265"/>
      <c r="F52" s="265"/>
      <c r="G52" s="265"/>
      <c r="H52" s="265"/>
    </row>
    <row r="53" spans="1:8" ht="15.75" customHeight="1">
      <c r="A53" s="265">
        <f>'11.F&amp;V Crop Production details'!A65</f>
        <v>0</v>
      </c>
      <c r="B53" s="265"/>
      <c r="C53" s="265"/>
      <c r="D53" s="265"/>
      <c r="E53" s="265"/>
      <c r="F53" s="265"/>
      <c r="G53" s="265"/>
      <c r="H53" s="265"/>
    </row>
    <row r="54" spans="1:8" ht="15.75" customHeight="1">
      <c r="A54" s="265">
        <f>'11.F&amp;V Crop Production details'!A66</f>
        <v>0</v>
      </c>
      <c r="B54" s="265"/>
      <c r="C54" s="265"/>
      <c r="D54" s="265"/>
      <c r="E54" s="265"/>
      <c r="F54" s="265"/>
      <c r="G54" s="265"/>
      <c r="H54" s="265"/>
    </row>
    <row r="55" spans="1:8" ht="15.75" customHeight="1">
      <c r="A55" s="265" t="str">
        <f>'11.F&amp;V Crop Production details'!A67</f>
        <v>Pomegranate</v>
      </c>
      <c r="B55" s="265">
        <f>'11.F&amp;V Crop Production details'!B67</f>
        <v>0</v>
      </c>
      <c r="C55" s="265">
        <f>'11.F&amp;V Crop Production details'!C67</f>
        <v>0</v>
      </c>
      <c r="D55" s="265">
        <f>'11.F&amp;V Crop Production details'!D67</f>
        <v>0</v>
      </c>
      <c r="E55" s="265">
        <f>'11.F&amp;V Crop Production details'!E67</f>
        <v>0</v>
      </c>
      <c r="F55" s="265">
        <f>'11.F&amp;V Crop Production details'!F67</f>
        <v>0</v>
      </c>
      <c r="G55" s="265">
        <f>'11.F&amp;V Crop Production details'!G67</f>
        <v>0</v>
      </c>
      <c r="H55" s="265">
        <f>'11.F&amp;V Crop Production details'!H67</f>
        <v>0</v>
      </c>
    </row>
    <row r="56" spans="1:8" ht="15.75" customHeight="1">
      <c r="A56" s="265" t="str">
        <f>'11.F&amp;V Crop Production details'!A68</f>
        <v>Custard Apple</v>
      </c>
      <c r="B56" s="265">
        <f>'11.F&amp;V Crop Production details'!B68</f>
        <v>0</v>
      </c>
      <c r="C56" s="265">
        <f>'11.F&amp;V Crop Production details'!C68</f>
        <v>0</v>
      </c>
      <c r="D56" s="265">
        <f>'11.F&amp;V Crop Production details'!D68</f>
        <v>0</v>
      </c>
      <c r="E56" s="265">
        <f>'11.F&amp;V Crop Production details'!E68</f>
        <v>0</v>
      </c>
      <c r="F56" s="265">
        <f>'11.F&amp;V Crop Production details'!F68</f>
        <v>0</v>
      </c>
      <c r="G56" s="265">
        <f>'11.F&amp;V Crop Production details'!G68</f>
        <v>0</v>
      </c>
      <c r="H56" s="265">
        <f>'11.F&amp;V Crop Production details'!H68</f>
        <v>0</v>
      </c>
    </row>
    <row r="57" spans="1:8" ht="15.75" customHeight="1">
      <c r="A57" s="265" t="str">
        <f>'11.F&amp;V Crop Production details'!A69</f>
        <v>Guava</v>
      </c>
      <c r="B57" s="265">
        <f>'11.F&amp;V Crop Production details'!B69</f>
        <v>0</v>
      </c>
      <c r="C57" s="265">
        <f>'11.F&amp;V Crop Production details'!C69</f>
        <v>0</v>
      </c>
      <c r="D57" s="265">
        <f>'11.F&amp;V Crop Production details'!D69</f>
        <v>0</v>
      </c>
      <c r="E57" s="265">
        <f>'11.F&amp;V Crop Production details'!E69</f>
        <v>0</v>
      </c>
      <c r="F57" s="265">
        <f>'11.F&amp;V Crop Production details'!F69</f>
        <v>0</v>
      </c>
      <c r="G57" s="265">
        <f>'11.F&amp;V Crop Production details'!G69</f>
        <v>0</v>
      </c>
      <c r="H57" s="265">
        <f>'11.F&amp;V Crop Production details'!H69</f>
        <v>0</v>
      </c>
    </row>
    <row r="58" spans="1:8" ht="15.75" customHeight="1">
      <c r="A58" s="265" t="str">
        <f>'11.F&amp;V Crop Production details'!A70</f>
        <v>Citrus</v>
      </c>
      <c r="B58" s="265">
        <f>'11.F&amp;V Crop Production details'!B70</f>
        <v>0</v>
      </c>
      <c r="C58" s="265">
        <f>'11.F&amp;V Crop Production details'!C70</f>
        <v>0</v>
      </c>
      <c r="D58" s="265">
        <f>'11.F&amp;V Crop Production details'!D70</f>
        <v>0</v>
      </c>
      <c r="E58" s="265">
        <f>'11.F&amp;V Crop Production details'!E70</f>
        <v>0</v>
      </c>
      <c r="F58" s="265">
        <f>'11.F&amp;V Crop Production details'!F70</f>
        <v>0</v>
      </c>
      <c r="G58" s="265">
        <f>'11.F&amp;V Crop Production details'!G70</f>
        <v>0</v>
      </c>
      <c r="H58" s="265">
        <f>'11.F&amp;V Crop Production details'!H70</f>
        <v>0</v>
      </c>
    </row>
    <row r="59" spans="1:8" ht="15.75" customHeight="1">
      <c r="A59" s="265"/>
      <c r="B59" s="265"/>
      <c r="C59" s="265"/>
      <c r="D59" s="265"/>
      <c r="E59" s="265"/>
      <c r="F59" s="265"/>
      <c r="G59" s="265"/>
      <c r="H59" s="265"/>
    </row>
    <row r="60" spans="1:8" ht="15.75" customHeight="1">
      <c r="A60" s="81" t="s">
        <v>566</v>
      </c>
      <c r="B60" s="265">
        <f t="shared" ref="B60:H60" si="2">SUM(B34:B58)</f>
        <v>0</v>
      </c>
      <c r="C60" s="265">
        <f t="shared" si="2"/>
        <v>0</v>
      </c>
      <c r="D60" s="265">
        <f t="shared" si="2"/>
        <v>0</v>
      </c>
      <c r="E60" s="265">
        <f t="shared" si="2"/>
        <v>0</v>
      </c>
      <c r="F60" s="265">
        <f t="shared" si="2"/>
        <v>0</v>
      </c>
      <c r="G60" s="265">
        <f t="shared" si="2"/>
        <v>0</v>
      </c>
      <c r="H60" s="265">
        <f t="shared" si="2"/>
        <v>0</v>
      </c>
    </row>
    <row r="61" spans="1:8" ht="15.75" customHeight="1">
      <c r="A61" s="266" t="s">
        <v>567</v>
      </c>
      <c r="B61" s="267">
        <v>0</v>
      </c>
      <c r="C61" s="267">
        <v>0</v>
      </c>
      <c r="D61" s="267">
        <v>0</v>
      </c>
      <c r="E61" s="267">
        <v>0</v>
      </c>
      <c r="F61" s="267">
        <v>0</v>
      </c>
      <c r="G61" s="267">
        <v>0</v>
      </c>
      <c r="H61" s="267">
        <v>0</v>
      </c>
    </row>
    <row r="62" spans="1:8" ht="15.75" customHeight="1">
      <c r="A62" s="266" t="s">
        <v>733</v>
      </c>
      <c r="B62" s="267">
        <f>1-B61</f>
        <v>1</v>
      </c>
      <c r="C62" s="267">
        <f t="shared" ref="C62:H62" si="3">1-C61</f>
        <v>1</v>
      </c>
      <c r="D62" s="267">
        <f t="shared" si="3"/>
        <v>1</v>
      </c>
      <c r="E62" s="267">
        <f t="shared" si="3"/>
        <v>1</v>
      </c>
      <c r="F62" s="267">
        <f t="shared" si="3"/>
        <v>1</v>
      </c>
      <c r="G62" s="267">
        <f t="shared" si="3"/>
        <v>1</v>
      </c>
      <c r="H62" s="267">
        <f t="shared" si="3"/>
        <v>1</v>
      </c>
    </row>
    <row r="63" spans="1:8" ht="15.75" customHeight="1">
      <c r="A63" s="266"/>
      <c r="B63" s="267"/>
      <c r="C63" s="267"/>
      <c r="D63" s="267"/>
      <c r="E63" s="267"/>
      <c r="F63" s="267"/>
      <c r="G63" s="267"/>
      <c r="H63" s="267"/>
    </row>
    <row r="64" spans="1:8" ht="15.75" customHeight="1">
      <c r="A64" s="266" t="s">
        <v>720</v>
      </c>
      <c r="B64" s="268">
        <f>B32*B61</f>
        <v>0</v>
      </c>
      <c r="C64" s="268">
        <f t="shared" ref="C64:H64" si="4">C32*C61</f>
        <v>0</v>
      </c>
      <c r="D64" s="268">
        <f t="shared" si="4"/>
        <v>0</v>
      </c>
      <c r="E64" s="268">
        <f t="shared" si="4"/>
        <v>0</v>
      </c>
      <c r="F64" s="268">
        <f t="shared" si="4"/>
        <v>0</v>
      </c>
      <c r="G64" s="268">
        <f t="shared" si="4"/>
        <v>0</v>
      </c>
      <c r="H64" s="268">
        <f t="shared" si="4"/>
        <v>0</v>
      </c>
    </row>
    <row r="65" spans="1:8" ht="15.75" customHeight="1">
      <c r="A65" s="81"/>
      <c r="B65" s="265"/>
      <c r="C65" s="265"/>
      <c r="D65" s="265"/>
      <c r="E65" s="265"/>
      <c r="F65" s="265"/>
      <c r="G65" s="265"/>
      <c r="H65" s="265"/>
    </row>
    <row r="66" spans="1:8" ht="15.75" customHeight="1">
      <c r="A66" s="81" t="s">
        <v>721</v>
      </c>
      <c r="B66" s="265"/>
      <c r="C66" s="265"/>
      <c r="D66" s="265"/>
      <c r="E66" s="265"/>
      <c r="F66" s="265"/>
      <c r="G66" s="265"/>
      <c r="H66" s="265"/>
    </row>
    <row r="67" spans="1:8" ht="15.75" customHeight="1">
      <c r="A67" s="269" t="str">
        <f t="shared" ref="A67:A88" si="5">A10</f>
        <v>Soybean</v>
      </c>
      <c r="B67" s="269">
        <f t="shared" ref="B67:B88" si="6">B10*$B$62</f>
        <v>0</v>
      </c>
      <c r="C67" s="269">
        <f t="shared" ref="C67:C82" si="7">C10*$C$62</f>
        <v>0</v>
      </c>
      <c r="D67" s="269">
        <f t="shared" ref="D67:D82" si="8">D10*$D$62</f>
        <v>0</v>
      </c>
      <c r="E67" s="269">
        <f t="shared" ref="E67:E82" si="9">E10*$E$62</f>
        <v>0</v>
      </c>
      <c r="F67" s="269">
        <f t="shared" ref="F67:F82" si="10">F10*$F$62</f>
        <v>0</v>
      </c>
      <c r="G67" s="269">
        <f t="shared" ref="G67:G82" si="11">G10*$G$62</f>
        <v>0</v>
      </c>
      <c r="H67" s="269">
        <f t="shared" ref="H67:H82" si="12">H10*$H$62</f>
        <v>0</v>
      </c>
    </row>
    <row r="68" spans="1:8" ht="15.75" customHeight="1">
      <c r="A68" s="269" t="str">
        <f t="shared" si="5"/>
        <v>Red Gram/Tur</v>
      </c>
      <c r="B68" s="269">
        <f>B11*$B$62</f>
        <v>0</v>
      </c>
      <c r="C68" s="269">
        <f t="shared" si="7"/>
        <v>0</v>
      </c>
      <c r="D68" s="269">
        <f t="shared" si="8"/>
        <v>0</v>
      </c>
      <c r="E68" s="269">
        <f t="shared" si="9"/>
        <v>0</v>
      </c>
      <c r="F68" s="269">
        <f t="shared" si="10"/>
        <v>0</v>
      </c>
      <c r="G68" s="269">
        <f t="shared" si="11"/>
        <v>0</v>
      </c>
      <c r="H68" s="269">
        <f t="shared" si="12"/>
        <v>0</v>
      </c>
    </row>
    <row r="69" spans="1:8" ht="15.75" customHeight="1">
      <c r="A69" s="269" t="str">
        <f t="shared" si="5"/>
        <v>Paddy/Rice</v>
      </c>
      <c r="B69" s="269">
        <f>B12*$B$62</f>
        <v>6198.75</v>
      </c>
      <c r="C69" s="269">
        <f t="shared" si="7"/>
        <v>6508.6875000000009</v>
      </c>
      <c r="D69" s="269">
        <f t="shared" si="8"/>
        <v>6834.1218750000007</v>
      </c>
      <c r="E69" s="269">
        <f t="shared" si="9"/>
        <v>7175.8279687500008</v>
      </c>
      <c r="F69" s="269">
        <f t="shared" si="10"/>
        <v>7534.6193671875017</v>
      </c>
      <c r="G69" s="269">
        <f t="shared" si="11"/>
        <v>7911.3503355468756</v>
      </c>
      <c r="H69" s="269">
        <f t="shared" si="12"/>
        <v>8306.917852324219</v>
      </c>
    </row>
    <row r="70" spans="1:8" ht="15.75" customHeight="1">
      <c r="A70" s="269" t="str">
        <f t="shared" si="5"/>
        <v>Green Gram/ Moong</v>
      </c>
      <c r="B70" s="269">
        <f t="shared" si="6"/>
        <v>0</v>
      </c>
      <c r="C70" s="269">
        <f t="shared" si="7"/>
        <v>0</v>
      </c>
      <c r="D70" s="269">
        <f t="shared" si="8"/>
        <v>0</v>
      </c>
      <c r="E70" s="269">
        <f t="shared" si="9"/>
        <v>0</v>
      </c>
      <c r="F70" s="269">
        <f t="shared" si="10"/>
        <v>0</v>
      </c>
      <c r="G70" s="269">
        <f t="shared" si="11"/>
        <v>0</v>
      </c>
      <c r="H70" s="269">
        <f t="shared" si="12"/>
        <v>0</v>
      </c>
    </row>
    <row r="71" spans="1:8" ht="15.75" customHeight="1">
      <c r="A71" s="269" t="str">
        <f t="shared" si="5"/>
        <v>Maize</v>
      </c>
      <c r="B71" s="269">
        <f t="shared" si="6"/>
        <v>0</v>
      </c>
      <c r="C71" s="269">
        <f t="shared" si="7"/>
        <v>0</v>
      </c>
      <c r="D71" s="269">
        <f t="shared" si="8"/>
        <v>0</v>
      </c>
      <c r="E71" s="269">
        <f t="shared" si="9"/>
        <v>0</v>
      </c>
      <c r="F71" s="269">
        <f t="shared" si="10"/>
        <v>0</v>
      </c>
      <c r="G71" s="269">
        <f t="shared" si="11"/>
        <v>0</v>
      </c>
      <c r="H71" s="269">
        <f t="shared" si="12"/>
        <v>0</v>
      </c>
    </row>
    <row r="72" spans="1:8" ht="15.75" customHeight="1">
      <c r="A72" s="269" t="str">
        <f t="shared" si="5"/>
        <v>Black Gram/Udid</v>
      </c>
      <c r="B72" s="269">
        <f t="shared" si="6"/>
        <v>0</v>
      </c>
      <c r="C72" s="269">
        <f t="shared" si="7"/>
        <v>0</v>
      </c>
      <c r="D72" s="269">
        <f t="shared" si="8"/>
        <v>0</v>
      </c>
      <c r="E72" s="269">
        <f t="shared" si="9"/>
        <v>0</v>
      </c>
      <c r="F72" s="269">
        <f t="shared" si="10"/>
        <v>0</v>
      </c>
      <c r="G72" s="269">
        <f t="shared" si="11"/>
        <v>0</v>
      </c>
      <c r="H72" s="269">
        <f t="shared" si="12"/>
        <v>0</v>
      </c>
    </row>
    <row r="73" spans="1:8" ht="15.75" customHeight="1">
      <c r="A73" s="269" t="str">
        <f t="shared" si="5"/>
        <v>Bajra</v>
      </c>
      <c r="B73" s="269">
        <f t="shared" si="6"/>
        <v>0</v>
      </c>
      <c r="C73" s="269">
        <f t="shared" si="7"/>
        <v>0</v>
      </c>
      <c r="D73" s="269">
        <f t="shared" si="8"/>
        <v>0</v>
      </c>
      <c r="E73" s="269">
        <f t="shared" si="9"/>
        <v>0</v>
      </c>
      <c r="F73" s="269">
        <f t="shared" si="10"/>
        <v>0</v>
      </c>
      <c r="G73" s="269">
        <f t="shared" si="11"/>
        <v>0</v>
      </c>
      <c r="H73" s="269">
        <f t="shared" si="12"/>
        <v>0</v>
      </c>
    </row>
    <row r="74" spans="1:8" ht="15.75" customHeight="1">
      <c r="A74" s="269" t="str">
        <f t="shared" si="5"/>
        <v>Jawar</v>
      </c>
      <c r="B74" s="269">
        <f t="shared" si="6"/>
        <v>0</v>
      </c>
      <c r="C74" s="269">
        <f t="shared" si="7"/>
        <v>0</v>
      </c>
      <c r="D74" s="269">
        <f t="shared" si="8"/>
        <v>0</v>
      </c>
      <c r="E74" s="269">
        <f t="shared" si="9"/>
        <v>0</v>
      </c>
      <c r="F74" s="269">
        <f t="shared" si="10"/>
        <v>0</v>
      </c>
      <c r="G74" s="269">
        <f t="shared" si="11"/>
        <v>0</v>
      </c>
      <c r="H74" s="269">
        <f t="shared" si="12"/>
        <v>0</v>
      </c>
    </row>
    <row r="75" spans="1:8" ht="15.75" customHeight="1">
      <c r="A75" s="269" t="str">
        <f t="shared" si="5"/>
        <v>Sunflower</v>
      </c>
      <c r="B75" s="269">
        <f t="shared" si="6"/>
        <v>0</v>
      </c>
      <c r="C75" s="269">
        <f t="shared" si="7"/>
        <v>0</v>
      </c>
      <c r="D75" s="269">
        <f t="shared" si="8"/>
        <v>0</v>
      </c>
      <c r="E75" s="269">
        <f t="shared" si="9"/>
        <v>0</v>
      </c>
      <c r="F75" s="269">
        <f t="shared" si="10"/>
        <v>0</v>
      </c>
      <c r="G75" s="269">
        <f t="shared" si="11"/>
        <v>0</v>
      </c>
      <c r="H75" s="269">
        <f t="shared" si="12"/>
        <v>0</v>
      </c>
    </row>
    <row r="76" spans="1:8" ht="15.75" customHeight="1">
      <c r="A76" s="269" t="str">
        <f t="shared" si="5"/>
        <v>Wheat</v>
      </c>
      <c r="B76" s="269">
        <f t="shared" si="6"/>
        <v>0</v>
      </c>
      <c r="C76" s="269">
        <f t="shared" si="7"/>
        <v>0</v>
      </c>
      <c r="D76" s="269">
        <f t="shared" si="8"/>
        <v>0</v>
      </c>
      <c r="E76" s="269">
        <f t="shared" si="9"/>
        <v>0</v>
      </c>
      <c r="F76" s="269">
        <f t="shared" si="10"/>
        <v>0</v>
      </c>
      <c r="G76" s="269">
        <f t="shared" si="11"/>
        <v>0</v>
      </c>
      <c r="H76" s="269">
        <f t="shared" si="12"/>
        <v>0</v>
      </c>
    </row>
    <row r="77" spans="1:8" ht="15.75" customHeight="1">
      <c r="A77" s="269" t="str">
        <f t="shared" si="5"/>
        <v>Bengal Gram/Channa</v>
      </c>
      <c r="B77" s="269">
        <f t="shared" si="6"/>
        <v>0</v>
      </c>
      <c r="C77" s="269">
        <f t="shared" si="7"/>
        <v>0</v>
      </c>
      <c r="D77" s="269">
        <f t="shared" si="8"/>
        <v>0</v>
      </c>
      <c r="E77" s="269">
        <f t="shared" si="9"/>
        <v>0</v>
      </c>
      <c r="F77" s="269">
        <f t="shared" si="10"/>
        <v>0</v>
      </c>
      <c r="G77" s="269">
        <f t="shared" si="11"/>
        <v>0</v>
      </c>
      <c r="H77" s="269">
        <f t="shared" si="12"/>
        <v>0</v>
      </c>
    </row>
    <row r="78" spans="1:8" ht="15.75" customHeight="1">
      <c r="A78" s="269" t="str">
        <f t="shared" si="5"/>
        <v>Jawar</v>
      </c>
      <c r="B78" s="269">
        <f t="shared" si="6"/>
        <v>0</v>
      </c>
      <c r="C78" s="269">
        <f t="shared" si="7"/>
        <v>0</v>
      </c>
      <c r="D78" s="269">
        <f t="shared" si="8"/>
        <v>0</v>
      </c>
      <c r="E78" s="269">
        <f t="shared" si="9"/>
        <v>0</v>
      </c>
      <c r="F78" s="269">
        <f t="shared" si="10"/>
        <v>0</v>
      </c>
      <c r="G78" s="269">
        <f t="shared" si="11"/>
        <v>0</v>
      </c>
      <c r="H78" s="269">
        <f t="shared" si="12"/>
        <v>0</v>
      </c>
    </row>
    <row r="79" spans="1:8" ht="15.75" customHeight="1">
      <c r="A79" s="269" t="str">
        <f t="shared" si="5"/>
        <v>Maize</v>
      </c>
      <c r="B79" s="269">
        <f t="shared" si="6"/>
        <v>0</v>
      </c>
      <c r="C79" s="269">
        <f t="shared" si="7"/>
        <v>0</v>
      </c>
      <c r="D79" s="269">
        <f t="shared" si="8"/>
        <v>0</v>
      </c>
      <c r="E79" s="269">
        <f t="shared" si="9"/>
        <v>0</v>
      </c>
      <c r="F79" s="269">
        <f t="shared" si="10"/>
        <v>0</v>
      </c>
      <c r="G79" s="269">
        <f t="shared" si="11"/>
        <v>0</v>
      </c>
      <c r="H79" s="269">
        <f t="shared" si="12"/>
        <v>0</v>
      </c>
    </row>
    <row r="80" spans="1:8" ht="15.75" customHeight="1">
      <c r="A80" s="269" t="str">
        <f t="shared" si="5"/>
        <v>Safflower</v>
      </c>
      <c r="B80" s="269">
        <f t="shared" si="6"/>
        <v>0</v>
      </c>
      <c r="C80" s="269">
        <f t="shared" si="7"/>
        <v>0</v>
      </c>
      <c r="D80" s="269">
        <f t="shared" si="8"/>
        <v>0</v>
      </c>
      <c r="E80" s="269">
        <f t="shared" si="9"/>
        <v>0</v>
      </c>
      <c r="F80" s="269">
        <f t="shared" si="10"/>
        <v>0</v>
      </c>
      <c r="G80" s="269">
        <f t="shared" si="11"/>
        <v>0</v>
      </c>
      <c r="H80" s="269">
        <f t="shared" si="12"/>
        <v>0</v>
      </c>
    </row>
    <row r="81" spans="1:12" ht="15.75" customHeight="1">
      <c r="A81" s="269">
        <f t="shared" si="5"/>
        <v>0</v>
      </c>
      <c r="B81" s="269">
        <f t="shared" si="6"/>
        <v>0</v>
      </c>
      <c r="C81" s="269">
        <f t="shared" si="7"/>
        <v>0</v>
      </c>
      <c r="D81" s="269">
        <f t="shared" si="8"/>
        <v>0</v>
      </c>
      <c r="E81" s="269">
        <f t="shared" si="9"/>
        <v>0</v>
      </c>
      <c r="F81" s="269">
        <f t="shared" si="10"/>
        <v>0</v>
      </c>
      <c r="G81" s="269">
        <f t="shared" si="11"/>
        <v>0</v>
      </c>
      <c r="H81" s="269">
        <f t="shared" si="12"/>
        <v>0</v>
      </c>
    </row>
    <row r="82" spans="1:12" ht="15.75" customHeight="1">
      <c r="A82" s="269">
        <f t="shared" si="5"/>
        <v>0</v>
      </c>
      <c r="B82" s="269">
        <f t="shared" si="6"/>
        <v>0</v>
      </c>
      <c r="C82" s="269">
        <f t="shared" si="7"/>
        <v>0</v>
      </c>
      <c r="D82" s="269">
        <f t="shared" si="8"/>
        <v>0</v>
      </c>
      <c r="E82" s="269">
        <f t="shared" si="9"/>
        <v>0</v>
      </c>
      <c r="F82" s="269">
        <f t="shared" si="10"/>
        <v>0</v>
      </c>
      <c r="G82" s="269">
        <f t="shared" si="11"/>
        <v>0</v>
      </c>
      <c r="H82" s="269">
        <f t="shared" si="12"/>
        <v>0</v>
      </c>
    </row>
    <row r="83" spans="1:12" ht="15.75" customHeight="1">
      <c r="A83" s="269">
        <f t="shared" si="5"/>
        <v>0</v>
      </c>
      <c r="B83" s="269">
        <f t="shared" si="6"/>
        <v>0</v>
      </c>
      <c r="C83" s="269">
        <f t="shared" ref="C83:H83" si="13">C26*$B$62</f>
        <v>0</v>
      </c>
      <c r="D83" s="269">
        <f t="shared" si="13"/>
        <v>0</v>
      </c>
      <c r="E83" s="269">
        <f t="shared" si="13"/>
        <v>0</v>
      </c>
      <c r="F83" s="269">
        <f t="shared" si="13"/>
        <v>0</v>
      </c>
      <c r="G83" s="269">
        <f t="shared" si="13"/>
        <v>0</v>
      </c>
      <c r="H83" s="269">
        <f t="shared" si="13"/>
        <v>0</v>
      </c>
    </row>
    <row r="84" spans="1:12" ht="15.75" customHeight="1">
      <c r="A84" s="269" t="str">
        <f t="shared" si="5"/>
        <v>Groundnut</v>
      </c>
      <c r="B84" s="269">
        <f t="shared" si="6"/>
        <v>0</v>
      </c>
      <c r="C84" s="269">
        <f t="shared" ref="C84:H84" si="14">C27*$B$62</f>
        <v>0</v>
      </c>
      <c r="D84" s="269">
        <f t="shared" si="14"/>
        <v>0</v>
      </c>
      <c r="E84" s="269">
        <f t="shared" si="14"/>
        <v>0</v>
      </c>
      <c r="F84" s="269">
        <f t="shared" si="14"/>
        <v>0</v>
      </c>
      <c r="G84" s="269">
        <f t="shared" si="14"/>
        <v>0</v>
      </c>
      <c r="H84" s="269">
        <f t="shared" si="14"/>
        <v>0</v>
      </c>
    </row>
    <row r="85" spans="1:12" ht="15.75" customHeight="1">
      <c r="A85" s="269">
        <f t="shared" si="5"/>
        <v>0</v>
      </c>
      <c r="B85" s="269">
        <f t="shared" si="6"/>
        <v>0</v>
      </c>
      <c r="C85" s="269">
        <f t="shared" ref="C85:H85" si="15">C28*$B$62</f>
        <v>0</v>
      </c>
      <c r="D85" s="269">
        <f t="shared" si="15"/>
        <v>0</v>
      </c>
      <c r="E85" s="269">
        <f t="shared" si="15"/>
        <v>0</v>
      </c>
      <c r="F85" s="269">
        <f t="shared" si="15"/>
        <v>0</v>
      </c>
      <c r="G85" s="269">
        <f t="shared" si="15"/>
        <v>0</v>
      </c>
      <c r="H85" s="269">
        <f t="shared" si="15"/>
        <v>0</v>
      </c>
    </row>
    <row r="86" spans="1:12" ht="15.75" customHeight="1">
      <c r="A86" s="269">
        <f t="shared" si="5"/>
        <v>0</v>
      </c>
      <c r="B86" s="269">
        <f t="shared" si="6"/>
        <v>0</v>
      </c>
      <c r="C86" s="269">
        <f t="shared" ref="C86:H86" si="16">C29*$B$62</f>
        <v>0</v>
      </c>
      <c r="D86" s="269">
        <f t="shared" si="16"/>
        <v>0</v>
      </c>
      <c r="E86" s="269">
        <f t="shared" si="16"/>
        <v>0</v>
      </c>
      <c r="F86" s="269">
        <f t="shared" si="16"/>
        <v>0</v>
      </c>
      <c r="G86" s="269">
        <f t="shared" si="16"/>
        <v>0</v>
      </c>
      <c r="H86" s="269">
        <f t="shared" si="16"/>
        <v>0</v>
      </c>
    </row>
    <row r="87" spans="1:12" ht="15.75" customHeight="1">
      <c r="A87" s="269">
        <f t="shared" si="5"/>
        <v>0</v>
      </c>
      <c r="B87" s="269">
        <f t="shared" si="6"/>
        <v>0</v>
      </c>
      <c r="C87" s="269">
        <f t="shared" ref="C87:H87" si="17">C30*$B$62</f>
        <v>0</v>
      </c>
      <c r="D87" s="269">
        <f t="shared" si="17"/>
        <v>0</v>
      </c>
      <c r="E87" s="269">
        <f t="shared" si="17"/>
        <v>0</v>
      </c>
      <c r="F87" s="269">
        <f t="shared" si="17"/>
        <v>0</v>
      </c>
      <c r="G87" s="269">
        <f t="shared" si="17"/>
        <v>0</v>
      </c>
      <c r="H87" s="269">
        <f t="shared" si="17"/>
        <v>0</v>
      </c>
    </row>
    <row r="88" spans="1:12" ht="15.75" customHeight="1">
      <c r="A88" s="269">
        <f t="shared" si="5"/>
        <v>0</v>
      </c>
      <c r="B88" s="269">
        <f t="shared" si="6"/>
        <v>0</v>
      </c>
      <c r="C88" s="269">
        <f t="shared" ref="C88:H88" si="18">C31*$B$62</f>
        <v>0</v>
      </c>
      <c r="D88" s="269">
        <f t="shared" si="18"/>
        <v>0</v>
      </c>
      <c r="E88" s="269">
        <f t="shared" si="18"/>
        <v>0</v>
      </c>
      <c r="F88" s="269">
        <f t="shared" si="18"/>
        <v>0</v>
      </c>
      <c r="G88" s="269">
        <f t="shared" si="18"/>
        <v>0</v>
      </c>
      <c r="H88" s="269">
        <f t="shared" si="18"/>
        <v>0</v>
      </c>
    </row>
    <row r="89" spans="1:12" ht="15.75" customHeight="1">
      <c r="A89" s="78"/>
      <c r="B89" s="269"/>
      <c r="C89" s="269"/>
      <c r="D89" s="269"/>
      <c r="E89" s="269"/>
      <c r="F89" s="269"/>
      <c r="G89" s="269"/>
      <c r="H89" s="269"/>
      <c r="J89" s="48"/>
      <c r="K89" s="48"/>
      <c r="L89" s="48"/>
    </row>
    <row r="90" spans="1:12" ht="15.75" customHeight="1">
      <c r="A90" s="269" t="str">
        <f t="shared" ref="A90:A115" si="19">A33</f>
        <v>Fruit  &amp; Vegetables Crop Production Details</v>
      </c>
      <c r="B90" s="269"/>
      <c r="C90" s="269"/>
      <c r="D90" s="269"/>
      <c r="E90" s="269"/>
      <c r="F90" s="269"/>
      <c r="G90" s="269"/>
      <c r="H90" s="269"/>
      <c r="J90" s="48"/>
      <c r="K90" s="48"/>
      <c r="L90" s="48"/>
    </row>
    <row r="91" spans="1:12" ht="15.75" customHeight="1">
      <c r="A91" s="269" t="str">
        <f t="shared" si="19"/>
        <v>Onion</v>
      </c>
      <c r="B91" s="269">
        <f t="shared" ref="B91:H91" si="20">B34</f>
        <v>0</v>
      </c>
      <c r="C91" s="269">
        <f t="shared" si="20"/>
        <v>0</v>
      </c>
      <c r="D91" s="269">
        <f t="shared" si="20"/>
        <v>0</v>
      </c>
      <c r="E91" s="269">
        <f t="shared" si="20"/>
        <v>0</v>
      </c>
      <c r="F91" s="269">
        <f t="shared" si="20"/>
        <v>0</v>
      </c>
      <c r="G91" s="269">
        <f t="shared" si="20"/>
        <v>0</v>
      </c>
      <c r="H91" s="269">
        <f t="shared" si="20"/>
        <v>0</v>
      </c>
      <c r="J91" s="48"/>
      <c r="K91" s="48"/>
      <c r="L91" s="48"/>
    </row>
    <row r="92" spans="1:12" ht="15.75" customHeight="1">
      <c r="A92" s="269" t="str">
        <f t="shared" si="19"/>
        <v>Tomato</v>
      </c>
      <c r="B92" s="269">
        <f t="shared" ref="B92:H92" si="21">B35</f>
        <v>0</v>
      </c>
      <c r="C92" s="269">
        <f t="shared" si="21"/>
        <v>0</v>
      </c>
      <c r="D92" s="269">
        <f t="shared" si="21"/>
        <v>0</v>
      </c>
      <c r="E92" s="269">
        <f t="shared" si="21"/>
        <v>0</v>
      </c>
      <c r="F92" s="269">
        <f t="shared" si="21"/>
        <v>0</v>
      </c>
      <c r="G92" s="269">
        <f t="shared" si="21"/>
        <v>0</v>
      </c>
      <c r="H92" s="269">
        <f t="shared" si="21"/>
        <v>0</v>
      </c>
      <c r="J92" s="48"/>
      <c r="K92" s="48"/>
      <c r="L92" s="48"/>
    </row>
    <row r="93" spans="1:12" ht="15.75" customHeight="1">
      <c r="A93" s="269" t="str">
        <f t="shared" si="19"/>
        <v>Okra</v>
      </c>
      <c r="B93" s="269">
        <f t="shared" ref="B93:H93" si="22">B36</f>
        <v>0</v>
      </c>
      <c r="C93" s="269">
        <f t="shared" si="22"/>
        <v>0</v>
      </c>
      <c r="D93" s="269">
        <f t="shared" si="22"/>
        <v>0</v>
      </c>
      <c r="E93" s="269">
        <f t="shared" si="22"/>
        <v>0</v>
      </c>
      <c r="F93" s="269">
        <f t="shared" si="22"/>
        <v>0</v>
      </c>
      <c r="G93" s="269">
        <f t="shared" si="22"/>
        <v>0</v>
      </c>
      <c r="H93" s="269">
        <f t="shared" si="22"/>
        <v>0</v>
      </c>
      <c r="J93" s="48"/>
      <c r="K93" s="48"/>
      <c r="L93" s="48"/>
    </row>
    <row r="94" spans="1:12" ht="15.75" customHeight="1">
      <c r="A94" s="269" t="str">
        <f t="shared" si="19"/>
        <v>Chilli</v>
      </c>
      <c r="B94" s="269">
        <f t="shared" ref="B94:H94" si="23">B37</f>
        <v>0</v>
      </c>
      <c r="C94" s="269">
        <f t="shared" si="23"/>
        <v>0</v>
      </c>
      <c r="D94" s="269">
        <f t="shared" si="23"/>
        <v>0</v>
      </c>
      <c r="E94" s="269">
        <f t="shared" si="23"/>
        <v>0</v>
      </c>
      <c r="F94" s="269">
        <f t="shared" si="23"/>
        <v>0</v>
      </c>
      <c r="G94" s="269">
        <f t="shared" si="23"/>
        <v>0</v>
      </c>
      <c r="H94" s="269">
        <f t="shared" si="23"/>
        <v>0</v>
      </c>
      <c r="J94" s="48"/>
      <c r="K94" s="48"/>
      <c r="L94" s="48"/>
    </row>
    <row r="95" spans="1:12" ht="15.75" customHeight="1">
      <c r="A95" s="269" t="str">
        <f t="shared" si="19"/>
        <v>Potato</v>
      </c>
      <c r="B95" s="269">
        <f t="shared" ref="B95:H95" si="24">B38</f>
        <v>0</v>
      </c>
      <c r="C95" s="269">
        <f t="shared" si="24"/>
        <v>0</v>
      </c>
      <c r="D95" s="269">
        <f t="shared" si="24"/>
        <v>0</v>
      </c>
      <c r="E95" s="269">
        <f t="shared" si="24"/>
        <v>0</v>
      </c>
      <c r="F95" s="269">
        <f t="shared" si="24"/>
        <v>0</v>
      </c>
      <c r="G95" s="269">
        <f t="shared" si="24"/>
        <v>0</v>
      </c>
      <c r="H95" s="269">
        <f t="shared" si="24"/>
        <v>0</v>
      </c>
      <c r="J95" s="48"/>
      <c r="K95" s="48"/>
      <c r="L95" s="48"/>
    </row>
    <row r="96" spans="1:12" ht="15.75" customHeight="1">
      <c r="A96" s="269">
        <f t="shared" si="19"/>
        <v>0</v>
      </c>
      <c r="B96" s="269">
        <f t="shared" ref="B96:H96" si="25">B39</f>
        <v>0</v>
      </c>
      <c r="C96" s="269">
        <f t="shared" si="25"/>
        <v>0</v>
      </c>
      <c r="D96" s="269">
        <f t="shared" si="25"/>
        <v>0</v>
      </c>
      <c r="E96" s="269">
        <f t="shared" si="25"/>
        <v>0</v>
      </c>
      <c r="F96" s="269">
        <f t="shared" si="25"/>
        <v>0</v>
      </c>
      <c r="G96" s="269">
        <f t="shared" si="25"/>
        <v>0</v>
      </c>
      <c r="H96" s="269">
        <f t="shared" si="25"/>
        <v>0</v>
      </c>
      <c r="J96" s="48"/>
      <c r="K96" s="48"/>
      <c r="L96" s="48"/>
    </row>
    <row r="97" spans="1:12" ht="15.75" customHeight="1">
      <c r="A97" s="269">
        <f t="shared" si="19"/>
        <v>0</v>
      </c>
      <c r="B97" s="269">
        <f t="shared" ref="B97:H97" si="26">B40</f>
        <v>0</v>
      </c>
      <c r="C97" s="269">
        <f t="shared" si="26"/>
        <v>0</v>
      </c>
      <c r="D97" s="269">
        <f t="shared" si="26"/>
        <v>0</v>
      </c>
      <c r="E97" s="269">
        <f t="shared" si="26"/>
        <v>0</v>
      </c>
      <c r="F97" s="269">
        <f t="shared" si="26"/>
        <v>0</v>
      </c>
      <c r="G97" s="269">
        <f t="shared" si="26"/>
        <v>0</v>
      </c>
      <c r="H97" s="269">
        <f t="shared" si="26"/>
        <v>0</v>
      </c>
      <c r="J97" s="48"/>
      <c r="K97" s="48"/>
      <c r="L97" s="48"/>
    </row>
    <row r="98" spans="1:12" ht="15.75" customHeight="1">
      <c r="A98" s="269">
        <f t="shared" si="19"/>
        <v>0</v>
      </c>
      <c r="B98" s="269">
        <f t="shared" ref="B98:H98" si="27">B41</f>
        <v>0</v>
      </c>
      <c r="C98" s="269">
        <f t="shared" si="27"/>
        <v>0</v>
      </c>
      <c r="D98" s="269">
        <f t="shared" si="27"/>
        <v>0</v>
      </c>
      <c r="E98" s="269">
        <f t="shared" si="27"/>
        <v>0</v>
      </c>
      <c r="F98" s="269">
        <f t="shared" si="27"/>
        <v>0</v>
      </c>
      <c r="G98" s="269">
        <f t="shared" si="27"/>
        <v>0</v>
      </c>
      <c r="H98" s="269">
        <f t="shared" si="27"/>
        <v>0</v>
      </c>
      <c r="J98" s="48"/>
      <c r="K98" s="48"/>
      <c r="L98" s="48"/>
    </row>
    <row r="99" spans="1:12" ht="15.75" customHeight="1">
      <c r="A99" s="269">
        <f t="shared" si="19"/>
        <v>0</v>
      </c>
      <c r="B99" s="269">
        <f t="shared" ref="B99:H99" si="28">B42</f>
        <v>0</v>
      </c>
      <c r="C99" s="269">
        <f t="shared" si="28"/>
        <v>0</v>
      </c>
      <c r="D99" s="269">
        <f t="shared" si="28"/>
        <v>0</v>
      </c>
      <c r="E99" s="269">
        <f t="shared" si="28"/>
        <v>0</v>
      </c>
      <c r="F99" s="269">
        <f t="shared" si="28"/>
        <v>0</v>
      </c>
      <c r="G99" s="269">
        <f t="shared" si="28"/>
        <v>0</v>
      </c>
      <c r="H99" s="269">
        <f t="shared" si="28"/>
        <v>0</v>
      </c>
      <c r="J99" s="48"/>
      <c r="K99" s="48"/>
      <c r="L99" s="48"/>
    </row>
    <row r="100" spans="1:12" ht="15.75" customHeight="1">
      <c r="A100" s="269" t="str">
        <f t="shared" si="19"/>
        <v>Onion</v>
      </c>
      <c r="B100" s="269">
        <f t="shared" ref="B100:H100" si="29">B43</f>
        <v>0</v>
      </c>
      <c r="C100" s="269">
        <f t="shared" si="29"/>
        <v>0</v>
      </c>
      <c r="D100" s="269">
        <f t="shared" si="29"/>
        <v>0</v>
      </c>
      <c r="E100" s="269">
        <f t="shared" si="29"/>
        <v>0</v>
      </c>
      <c r="F100" s="269">
        <f t="shared" si="29"/>
        <v>0</v>
      </c>
      <c r="G100" s="269">
        <f t="shared" si="29"/>
        <v>0</v>
      </c>
      <c r="H100" s="269">
        <f t="shared" si="29"/>
        <v>0</v>
      </c>
      <c r="J100" s="48"/>
      <c r="K100" s="48"/>
      <c r="L100" s="48"/>
    </row>
    <row r="101" spans="1:12" ht="15.75" customHeight="1">
      <c r="A101" s="269" t="str">
        <f t="shared" si="19"/>
        <v>Tomato</v>
      </c>
      <c r="B101" s="269">
        <f t="shared" ref="B101:H101" si="30">B44</f>
        <v>0</v>
      </c>
      <c r="C101" s="269">
        <f t="shared" si="30"/>
        <v>0</v>
      </c>
      <c r="D101" s="269">
        <f t="shared" si="30"/>
        <v>0</v>
      </c>
      <c r="E101" s="269">
        <f t="shared" si="30"/>
        <v>0</v>
      </c>
      <c r="F101" s="269">
        <f t="shared" si="30"/>
        <v>0</v>
      </c>
      <c r="G101" s="269">
        <f t="shared" si="30"/>
        <v>0</v>
      </c>
      <c r="H101" s="269">
        <f t="shared" si="30"/>
        <v>0</v>
      </c>
      <c r="J101" s="48"/>
      <c r="K101" s="48"/>
      <c r="L101" s="48"/>
    </row>
    <row r="102" spans="1:12" ht="15.75" customHeight="1">
      <c r="A102" s="269" t="str">
        <f t="shared" si="19"/>
        <v>Okra</v>
      </c>
      <c r="B102" s="269">
        <f t="shared" ref="B102:H102" si="31">B45</f>
        <v>0</v>
      </c>
      <c r="C102" s="269">
        <f t="shared" si="31"/>
        <v>0</v>
      </c>
      <c r="D102" s="269">
        <f t="shared" si="31"/>
        <v>0</v>
      </c>
      <c r="E102" s="269">
        <f t="shared" si="31"/>
        <v>0</v>
      </c>
      <c r="F102" s="269">
        <f t="shared" si="31"/>
        <v>0</v>
      </c>
      <c r="G102" s="269">
        <f t="shared" si="31"/>
        <v>0</v>
      </c>
      <c r="H102" s="269">
        <f t="shared" si="31"/>
        <v>0</v>
      </c>
      <c r="J102" s="48"/>
      <c r="K102" s="48"/>
      <c r="L102" s="48"/>
    </row>
    <row r="103" spans="1:12" ht="15.75" customHeight="1">
      <c r="A103" s="269" t="str">
        <f t="shared" si="19"/>
        <v>Chilli</v>
      </c>
      <c r="B103" s="269">
        <f t="shared" ref="B103:H103" si="32">B46</f>
        <v>0</v>
      </c>
      <c r="C103" s="269">
        <f t="shared" si="32"/>
        <v>0</v>
      </c>
      <c r="D103" s="269">
        <f t="shared" si="32"/>
        <v>0</v>
      </c>
      <c r="E103" s="269">
        <f t="shared" si="32"/>
        <v>0</v>
      </c>
      <c r="F103" s="269">
        <f t="shared" si="32"/>
        <v>0</v>
      </c>
      <c r="G103" s="269">
        <f t="shared" si="32"/>
        <v>0</v>
      </c>
      <c r="H103" s="269">
        <f t="shared" si="32"/>
        <v>0</v>
      </c>
      <c r="J103" s="48"/>
      <c r="K103" s="48"/>
      <c r="L103" s="48"/>
    </row>
    <row r="104" spans="1:12" ht="15.75" customHeight="1">
      <c r="A104" s="269" t="str">
        <f t="shared" si="19"/>
        <v>Brinjal</v>
      </c>
      <c r="B104" s="269">
        <f t="shared" ref="B104:H104" si="33">B47</f>
        <v>0</v>
      </c>
      <c r="C104" s="269">
        <f t="shared" si="33"/>
        <v>0</v>
      </c>
      <c r="D104" s="269">
        <f t="shared" si="33"/>
        <v>0</v>
      </c>
      <c r="E104" s="269">
        <f t="shared" si="33"/>
        <v>0</v>
      </c>
      <c r="F104" s="269">
        <f t="shared" si="33"/>
        <v>0</v>
      </c>
      <c r="G104" s="269">
        <f t="shared" si="33"/>
        <v>0</v>
      </c>
      <c r="H104" s="269">
        <f t="shared" si="33"/>
        <v>0</v>
      </c>
      <c r="J104" s="48"/>
      <c r="K104" s="48"/>
      <c r="L104" s="48"/>
    </row>
    <row r="105" spans="1:12" ht="15.75" customHeight="1">
      <c r="A105" s="269">
        <f t="shared" si="19"/>
        <v>0</v>
      </c>
      <c r="B105" s="269">
        <f t="shared" ref="B105:H105" si="34">B48</f>
        <v>0</v>
      </c>
      <c r="C105" s="269">
        <f t="shared" si="34"/>
        <v>0</v>
      </c>
      <c r="D105" s="269">
        <f t="shared" si="34"/>
        <v>0</v>
      </c>
      <c r="E105" s="269">
        <f t="shared" si="34"/>
        <v>0</v>
      </c>
      <c r="F105" s="269">
        <f t="shared" si="34"/>
        <v>0</v>
      </c>
      <c r="G105" s="269">
        <f t="shared" si="34"/>
        <v>0</v>
      </c>
      <c r="H105" s="269">
        <f t="shared" si="34"/>
        <v>0</v>
      </c>
      <c r="J105" s="48"/>
      <c r="K105" s="48"/>
      <c r="L105" s="48"/>
    </row>
    <row r="106" spans="1:12" ht="15.75" customHeight="1">
      <c r="A106" s="269">
        <f t="shared" si="19"/>
        <v>0</v>
      </c>
      <c r="B106" s="269">
        <f t="shared" ref="B106:H106" si="35">B49</f>
        <v>0</v>
      </c>
      <c r="C106" s="269">
        <f t="shared" si="35"/>
        <v>0</v>
      </c>
      <c r="D106" s="269">
        <f t="shared" si="35"/>
        <v>0</v>
      </c>
      <c r="E106" s="269">
        <f t="shared" si="35"/>
        <v>0</v>
      </c>
      <c r="F106" s="269">
        <f t="shared" si="35"/>
        <v>0</v>
      </c>
      <c r="G106" s="269">
        <f t="shared" si="35"/>
        <v>0</v>
      </c>
      <c r="H106" s="269">
        <f t="shared" si="35"/>
        <v>0</v>
      </c>
      <c r="J106" s="48"/>
      <c r="K106" s="48"/>
      <c r="L106" s="48"/>
    </row>
    <row r="107" spans="1:12" ht="15.75" customHeight="1">
      <c r="A107" s="269">
        <f t="shared" si="19"/>
        <v>0</v>
      </c>
      <c r="B107" s="269">
        <f t="shared" ref="B107:H107" si="36">B50</f>
        <v>0</v>
      </c>
      <c r="C107" s="269">
        <f t="shared" si="36"/>
        <v>0</v>
      </c>
      <c r="D107" s="269">
        <f t="shared" si="36"/>
        <v>0</v>
      </c>
      <c r="E107" s="269">
        <f t="shared" si="36"/>
        <v>0</v>
      </c>
      <c r="F107" s="269">
        <f t="shared" si="36"/>
        <v>0</v>
      </c>
      <c r="G107" s="269">
        <f t="shared" si="36"/>
        <v>0</v>
      </c>
      <c r="H107" s="269">
        <f t="shared" si="36"/>
        <v>0</v>
      </c>
      <c r="J107" s="48"/>
      <c r="K107" s="48"/>
      <c r="L107" s="48"/>
    </row>
    <row r="108" spans="1:12" ht="15.75" customHeight="1">
      <c r="A108" s="269">
        <f t="shared" si="19"/>
        <v>0</v>
      </c>
      <c r="B108" s="269">
        <f t="shared" ref="B108:H108" si="37">B51</f>
        <v>0</v>
      </c>
      <c r="C108" s="269">
        <f t="shared" si="37"/>
        <v>0</v>
      </c>
      <c r="D108" s="269">
        <f t="shared" si="37"/>
        <v>0</v>
      </c>
      <c r="E108" s="269">
        <f t="shared" si="37"/>
        <v>0</v>
      </c>
      <c r="F108" s="269">
        <f t="shared" si="37"/>
        <v>0</v>
      </c>
      <c r="G108" s="269">
        <f t="shared" si="37"/>
        <v>0</v>
      </c>
      <c r="H108" s="269">
        <f t="shared" si="37"/>
        <v>0</v>
      </c>
      <c r="J108" s="48"/>
      <c r="K108" s="48"/>
      <c r="L108" s="48"/>
    </row>
    <row r="109" spans="1:12" ht="15.75" customHeight="1">
      <c r="A109" s="269">
        <f t="shared" si="19"/>
        <v>0</v>
      </c>
      <c r="B109" s="269"/>
      <c r="C109" s="269"/>
      <c r="D109" s="269"/>
      <c r="E109" s="269"/>
      <c r="F109" s="269"/>
      <c r="G109" s="269"/>
      <c r="H109" s="269"/>
      <c r="J109" s="48"/>
      <c r="K109" s="48"/>
      <c r="L109" s="48"/>
    </row>
    <row r="110" spans="1:12" ht="15.75" customHeight="1">
      <c r="A110" s="269">
        <f t="shared" si="19"/>
        <v>0</v>
      </c>
      <c r="B110" s="269"/>
      <c r="C110" s="269"/>
      <c r="D110" s="269"/>
      <c r="E110" s="269"/>
      <c r="F110" s="269"/>
      <c r="G110" s="269"/>
      <c r="H110" s="269"/>
      <c r="J110" s="48"/>
      <c r="K110" s="48"/>
      <c r="L110" s="48"/>
    </row>
    <row r="111" spans="1:12" ht="15.75" customHeight="1">
      <c r="A111" s="269">
        <f t="shared" si="19"/>
        <v>0</v>
      </c>
      <c r="B111" s="269"/>
      <c r="C111" s="269"/>
      <c r="D111" s="269"/>
      <c r="E111" s="269"/>
      <c r="F111" s="269"/>
      <c r="G111" s="269"/>
      <c r="H111" s="269"/>
      <c r="J111" s="48"/>
      <c r="K111" s="48"/>
      <c r="L111" s="48"/>
    </row>
    <row r="112" spans="1:12" ht="15.75" customHeight="1">
      <c r="A112" s="269" t="str">
        <f t="shared" si="19"/>
        <v>Pomegranate</v>
      </c>
      <c r="B112" s="269">
        <f t="shared" ref="B112:H112" si="38">B55</f>
        <v>0</v>
      </c>
      <c r="C112" s="269">
        <f t="shared" si="38"/>
        <v>0</v>
      </c>
      <c r="D112" s="269">
        <f t="shared" si="38"/>
        <v>0</v>
      </c>
      <c r="E112" s="269">
        <f t="shared" si="38"/>
        <v>0</v>
      </c>
      <c r="F112" s="269">
        <f t="shared" si="38"/>
        <v>0</v>
      </c>
      <c r="G112" s="269">
        <f t="shared" si="38"/>
        <v>0</v>
      </c>
      <c r="H112" s="269">
        <f t="shared" si="38"/>
        <v>0</v>
      </c>
      <c r="J112" s="48"/>
      <c r="K112" s="48"/>
      <c r="L112" s="48"/>
    </row>
    <row r="113" spans="1:12" ht="15.75" customHeight="1">
      <c r="A113" s="269" t="str">
        <f t="shared" si="19"/>
        <v>Custard Apple</v>
      </c>
      <c r="B113" s="269">
        <f t="shared" ref="B113:H113" si="39">B56</f>
        <v>0</v>
      </c>
      <c r="C113" s="269">
        <f t="shared" si="39"/>
        <v>0</v>
      </c>
      <c r="D113" s="269">
        <f t="shared" si="39"/>
        <v>0</v>
      </c>
      <c r="E113" s="269">
        <f t="shared" si="39"/>
        <v>0</v>
      </c>
      <c r="F113" s="269">
        <f t="shared" si="39"/>
        <v>0</v>
      </c>
      <c r="G113" s="269">
        <f t="shared" si="39"/>
        <v>0</v>
      </c>
      <c r="H113" s="269">
        <f t="shared" si="39"/>
        <v>0</v>
      </c>
      <c r="J113" s="48"/>
      <c r="K113" s="48"/>
      <c r="L113" s="48"/>
    </row>
    <row r="114" spans="1:12" ht="15.75" customHeight="1">
      <c r="A114" s="269" t="str">
        <f t="shared" si="19"/>
        <v>Guava</v>
      </c>
      <c r="B114" s="269">
        <f t="shared" ref="B114:H114" si="40">B57</f>
        <v>0</v>
      </c>
      <c r="C114" s="269">
        <f t="shared" si="40"/>
        <v>0</v>
      </c>
      <c r="D114" s="269">
        <f t="shared" si="40"/>
        <v>0</v>
      </c>
      <c r="E114" s="269">
        <f t="shared" si="40"/>
        <v>0</v>
      </c>
      <c r="F114" s="269">
        <f t="shared" si="40"/>
        <v>0</v>
      </c>
      <c r="G114" s="269">
        <f t="shared" si="40"/>
        <v>0</v>
      </c>
      <c r="H114" s="269">
        <f t="shared" si="40"/>
        <v>0</v>
      </c>
      <c r="J114" s="48"/>
      <c r="K114" s="48"/>
      <c r="L114" s="48"/>
    </row>
    <row r="115" spans="1:12" ht="15.75" customHeight="1">
      <c r="A115" s="269" t="str">
        <f t="shared" si="19"/>
        <v>Citrus</v>
      </c>
      <c r="B115" s="269">
        <f t="shared" ref="B115:H115" si="41">B58</f>
        <v>0</v>
      </c>
      <c r="C115" s="269">
        <f t="shared" si="41"/>
        <v>0</v>
      </c>
      <c r="D115" s="269">
        <f t="shared" si="41"/>
        <v>0</v>
      </c>
      <c r="E115" s="269">
        <f t="shared" si="41"/>
        <v>0</v>
      </c>
      <c r="F115" s="269">
        <f t="shared" si="41"/>
        <v>0</v>
      </c>
      <c r="G115" s="269">
        <f t="shared" si="41"/>
        <v>0</v>
      </c>
      <c r="H115" s="269">
        <f t="shared" si="41"/>
        <v>0</v>
      </c>
      <c r="J115" s="48"/>
      <c r="K115" s="48"/>
      <c r="L115" s="48"/>
    </row>
    <row r="116" spans="1:12" ht="15.75" customHeight="1">
      <c r="A116" s="78"/>
      <c r="B116" s="269"/>
      <c r="C116" s="269"/>
      <c r="D116" s="269"/>
      <c r="E116" s="269"/>
      <c r="F116" s="269"/>
      <c r="G116" s="269"/>
      <c r="H116" s="269"/>
      <c r="J116" s="48"/>
      <c r="K116" s="48"/>
      <c r="L116" s="48"/>
    </row>
    <row r="117" spans="1:12" ht="15.75" customHeight="1">
      <c r="A117" s="78"/>
      <c r="B117" s="269"/>
      <c r="C117" s="269"/>
      <c r="D117" s="269"/>
      <c r="E117" s="269"/>
      <c r="F117" s="269"/>
      <c r="G117" s="269"/>
      <c r="H117" s="269"/>
      <c r="J117" s="48"/>
      <c r="K117" s="48"/>
      <c r="L117" s="48"/>
    </row>
    <row r="118" spans="1:12" ht="15.75" customHeight="1">
      <c r="A118" s="81" t="s">
        <v>570</v>
      </c>
      <c r="B118" s="78"/>
      <c r="C118" s="78"/>
      <c r="D118" s="78"/>
      <c r="E118" s="78"/>
      <c r="F118" s="78"/>
      <c r="G118" s="78"/>
      <c r="H118" s="78"/>
    </row>
    <row r="119" spans="1:12" ht="15.75" customHeight="1">
      <c r="A119" s="269" t="str">
        <f t="shared" ref="A119:A140" si="42">A67</f>
        <v>Soybean</v>
      </c>
      <c r="B119" s="239">
        <f t="shared" ref="B119:H119" si="43">B67-(B67*$G$5)</f>
        <v>0</v>
      </c>
      <c r="C119" s="239">
        <f t="shared" si="43"/>
        <v>0</v>
      </c>
      <c r="D119" s="239">
        <f t="shared" si="43"/>
        <v>0</v>
      </c>
      <c r="E119" s="239">
        <f t="shared" si="43"/>
        <v>0</v>
      </c>
      <c r="F119" s="239">
        <f t="shared" si="43"/>
        <v>0</v>
      </c>
      <c r="G119" s="239">
        <f t="shared" si="43"/>
        <v>0</v>
      </c>
      <c r="H119" s="239">
        <f t="shared" si="43"/>
        <v>0</v>
      </c>
    </row>
    <row r="120" spans="1:12" ht="15.75" customHeight="1">
      <c r="A120" s="269" t="str">
        <f t="shared" si="42"/>
        <v>Red Gram/Tur</v>
      </c>
      <c r="B120" s="239">
        <f t="shared" ref="B120:H120" si="44">B68-(B68*$G$5)</f>
        <v>0</v>
      </c>
      <c r="C120" s="239">
        <f t="shared" si="44"/>
        <v>0</v>
      </c>
      <c r="D120" s="239">
        <f t="shared" si="44"/>
        <v>0</v>
      </c>
      <c r="E120" s="239">
        <f t="shared" si="44"/>
        <v>0</v>
      </c>
      <c r="F120" s="239">
        <f t="shared" si="44"/>
        <v>0</v>
      </c>
      <c r="G120" s="239">
        <f t="shared" si="44"/>
        <v>0</v>
      </c>
      <c r="H120" s="239">
        <f t="shared" si="44"/>
        <v>0</v>
      </c>
    </row>
    <row r="121" spans="1:12" ht="15.75" customHeight="1">
      <c r="A121" s="269" t="str">
        <f t="shared" si="42"/>
        <v>Paddy/Rice</v>
      </c>
      <c r="B121" s="239">
        <f t="shared" ref="B121:H121" si="45">B69-(B69*$G$5)</f>
        <v>6012.7875000000004</v>
      </c>
      <c r="C121" s="239">
        <f t="shared" si="45"/>
        <v>6313.426875000001</v>
      </c>
      <c r="D121" s="239">
        <f t="shared" si="45"/>
        <v>6629.0982187500003</v>
      </c>
      <c r="E121" s="239">
        <f t="shared" si="45"/>
        <v>6960.5531296875006</v>
      </c>
      <c r="F121" s="239">
        <f t="shared" si="45"/>
        <v>7308.5807861718768</v>
      </c>
      <c r="G121" s="239">
        <f t="shared" si="45"/>
        <v>7674.0098254804698</v>
      </c>
      <c r="H121" s="239">
        <f t="shared" si="45"/>
        <v>8057.7103167544929</v>
      </c>
      <c r="I121" s="157"/>
    </row>
    <row r="122" spans="1:12" ht="15.75" customHeight="1">
      <c r="A122" s="269" t="str">
        <f t="shared" si="42"/>
        <v>Green Gram/ Moong</v>
      </c>
      <c r="B122" s="239">
        <f t="shared" ref="B122:H122" si="46">B70-(B70*$G$5)</f>
        <v>0</v>
      </c>
      <c r="C122" s="239">
        <f t="shared" si="46"/>
        <v>0</v>
      </c>
      <c r="D122" s="239">
        <f t="shared" si="46"/>
        <v>0</v>
      </c>
      <c r="E122" s="239">
        <f t="shared" si="46"/>
        <v>0</v>
      </c>
      <c r="F122" s="239">
        <f t="shared" si="46"/>
        <v>0</v>
      </c>
      <c r="G122" s="239">
        <f t="shared" si="46"/>
        <v>0</v>
      </c>
      <c r="H122" s="239">
        <f t="shared" si="46"/>
        <v>0</v>
      </c>
    </row>
    <row r="123" spans="1:12" ht="15.75" customHeight="1">
      <c r="A123" s="269" t="str">
        <f t="shared" si="42"/>
        <v>Maize</v>
      </c>
      <c r="B123" s="239">
        <f t="shared" ref="B123:H123" si="47">B71-(B71*$G$5)</f>
        <v>0</v>
      </c>
      <c r="C123" s="239">
        <f t="shared" si="47"/>
        <v>0</v>
      </c>
      <c r="D123" s="239">
        <f t="shared" si="47"/>
        <v>0</v>
      </c>
      <c r="E123" s="239">
        <f t="shared" si="47"/>
        <v>0</v>
      </c>
      <c r="F123" s="239">
        <f t="shared" si="47"/>
        <v>0</v>
      </c>
      <c r="G123" s="239">
        <f t="shared" si="47"/>
        <v>0</v>
      </c>
      <c r="H123" s="239">
        <f t="shared" si="47"/>
        <v>0</v>
      </c>
    </row>
    <row r="124" spans="1:12" ht="15.75" customHeight="1">
      <c r="A124" s="269" t="str">
        <f t="shared" si="42"/>
        <v>Black Gram/Udid</v>
      </c>
      <c r="B124" s="239">
        <f t="shared" ref="B124:H124" si="48">B72-(B72*$G$5)</f>
        <v>0</v>
      </c>
      <c r="C124" s="239">
        <f t="shared" si="48"/>
        <v>0</v>
      </c>
      <c r="D124" s="239">
        <f t="shared" si="48"/>
        <v>0</v>
      </c>
      <c r="E124" s="239">
        <f t="shared" si="48"/>
        <v>0</v>
      </c>
      <c r="F124" s="239">
        <f t="shared" si="48"/>
        <v>0</v>
      </c>
      <c r="G124" s="239">
        <f t="shared" si="48"/>
        <v>0</v>
      </c>
      <c r="H124" s="239">
        <f t="shared" si="48"/>
        <v>0</v>
      </c>
    </row>
    <row r="125" spans="1:12" ht="15.75" customHeight="1">
      <c r="A125" s="269" t="str">
        <f t="shared" si="42"/>
        <v>Bajra</v>
      </c>
      <c r="B125" s="239">
        <f t="shared" ref="B125:H125" si="49">B73-(B73*$G$5)</f>
        <v>0</v>
      </c>
      <c r="C125" s="239">
        <f t="shared" si="49"/>
        <v>0</v>
      </c>
      <c r="D125" s="239">
        <f t="shared" si="49"/>
        <v>0</v>
      </c>
      <c r="E125" s="239">
        <f t="shared" si="49"/>
        <v>0</v>
      </c>
      <c r="F125" s="239">
        <f t="shared" si="49"/>
        <v>0</v>
      </c>
      <c r="G125" s="239">
        <f t="shared" si="49"/>
        <v>0</v>
      </c>
      <c r="H125" s="239">
        <f t="shared" si="49"/>
        <v>0</v>
      </c>
    </row>
    <row r="126" spans="1:12" ht="15.75" customHeight="1">
      <c r="A126" s="269" t="str">
        <f t="shared" si="42"/>
        <v>Jawar</v>
      </c>
      <c r="B126" s="239">
        <f t="shared" ref="B126:H126" si="50">B74-(B74*$G$5)</f>
        <v>0</v>
      </c>
      <c r="C126" s="239">
        <f t="shared" si="50"/>
        <v>0</v>
      </c>
      <c r="D126" s="239">
        <f t="shared" si="50"/>
        <v>0</v>
      </c>
      <c r="E126" s="239">
        <f t="shared" si="50"/>
        <v>0</v>
      </c>
      <c r="F126" s="239">
        <f t="shared" si="50"/>
        <v>0</v>
      </c>
      <c r="G126" s="239">
        <f t="shared" si="50"/>
        <v>0</v>
      </c>
      <c r="H126" s="239">
        <f t="shared" si="50"/>
        <v>0</v>
      </c>
    </row>
    <row r="127" spans="1:12" ht="15.75" customHeight="1">
      <c r="A127" s="269" t="str">
        <f t="shared" si="42"/>
        <v>Sunflower</v>
      </c>
      <c r="B127" s="239">
        <f t="shared" ref="B127:H127" si="51">B75-(B75*$G$5)</f>
        <v>0</v>
      </c>
      <c r="C127" s="239">
        <f t="shared" si="51"/>
        <v>0</v>
      </c>
      <c r="D127" s="239">
        <f t="shared" si="51"/>
        <v>0</v>
      </c>
      <c r="E127" s="239">
        <f t="shared" si="51"/>
        <v>0</v>
      </c>
      <c r="F127" s="239">
        <f t="shared" si="51"/>
        <v>0</v>
      </c>
      <c r="G127" s="239">
        <f t="shared" si="51"/>
        <v>0</v>
      </c>
      <c r="H127" s="239">
        <f t="shared" si="51"/>
        <v>0</v>
      </c>
    </row>
    <row r="128" spans="1:12" ht="15.75" customHeight="1">
      <c r="A128" s="269" t="str">
        <f t="shared" si="42"/>
        <v>Wheat</v>
      </c>
      <c r="B128" s="239">
        <f t="shared" ref="B128:H128" si="52">B76-(B76*$G$5)</f>
        <v>0</v>
      </c>
      <c r="C128" s="239">
        <f t="shared" si="52"/>
        <v>0</v>
      </c>
      <c r="D128" s="239">
        <f t="shared" si="52"/>
        <v>0</v>
      </c>
      <c r="E128" s="239">
        <f t="shared" si="52"/>
        <v>0</v>
      </c>
      <c r="F128" s="239">
        <f t="shared" si="52"/>
        <v>0</v>
      </c>
      <c r="G128" s="239">
        <f t="shared" si="52"/>
        <v>0</v>
      </c>
      <c r="H128" s="239">
        <f t="shared" si="52"/>
        <v>0</v>
      </c>
    </row>
    <row r="129" spans="1:8" ht="15.75" customHeight="1">
      <c r="A129" s="269" t="str">
        <f t="shared" si="42"/>
        <v>Bengal Gram/Channa</v>
      </c>
      <c r="B129" s="239">
        <f t="shared" ref="B129:H129" si="53">B77-(B77*$G$5)</f>
        <v>0</v>
      </c>
      <c r="C129" s="239">
        <f t="shared" si="53"/>
        <v>0</v>
      </c>
      <c r="D129" s="239">
        <f t="shared" si="53"/>
        <v>0</v>
      </c>
      <c r="E129" s="239">
        <f t="shared" si="53"/>
        <v>0</v>
      </c>
      <c r="F129" s="239">
        <f t="shared" si="53"/>
        <v>0</v>
      </c>
      <c r="G129" s="239">
        <f t="shared" si="53"/>
        <v>0</v>
      </c>
      <c r="H129" s="239">
        <f t="shared" si="53"/>
        <v>0</v>
      </c>
    </row>
    <row r="130" spans="1:8" ht="15.75" customHeight="1">
      <c r="A130" s="269" t="str">
        <f t="shared" si="42"/>
        <v>Jawar</v>
      </c>
      <c r="B130" s="239">
        <f t="shared" ref="B130:H130" si="54">B78-(B78*$G$5)</f>
        <v>0</v>
      </c>
      <c r="C130" s="239">
        <f t="shared" si="54"/>
        <v>0</v>
      </c>
      <c r="D130" s="239">
        <f t="shared" si="54"/>
        <v>0</v>
      </c>
      <c r="E130" s="239">
        <f t="shared" si="54"/>
        <v>0</v>
      </c>
      <c r="F130" s="239">
        <f t="shared" si="54"/>
        <v>0</v>
      </c>
      <c r="G130" s="239">
        <f t="shared" si="54"/>
        <v>0</v>
      </c>
      <c r="H130" s="239">
        <f t="shared" si="54"/>
        <v>0</v>
      </c>
    </row>
    <row r="131" spans="1:8" ht="15.75" customHeight="1">
      <c r="A131" s="269" t="str">
        <f t="shared" si="42"/>
        <v>Maize</v>
      </c>
      <c r="B131" s="239">
        <f t="shared" ref="B131:H131" si="55">B79-(B79*$G$5)</f>
        <v>0</v>
      </c>
      <c r="C131" s="239">
        <f t="shared" si="55"/>
        <v>0</v>
      </c>
      <c r="D131" s="239">
        <f t="shared" si="55"/>
        <v>0</v>
      </c>
      <c r="E131" s="239">
        <f t="shared" si="55"/>
        <v>0</v>
      </c>
      <c r="F131" s="239">
        <f t="shared" si="55"/>
        <v>0</v>
      </c>
      <c r="G131" s="239">
        <f t="shared" si="55"/>
        <v>0</v>
      </c>
      <c r="H131" s="239">
        <f t="shared" si="55"/>
        <v>0</v>
      </c>
    </row>
    <row r="132" spans="1:8" ht="15.75" customHeight="1">
      <c r="A132" s="269" t="str">
        <f t="shared" si="42"/>
        <v>Safflower</v>
      </c>
      <c r="B132" s="239">
        <f t="shared" ref="B132:H132" si="56">B80-(B80*$G$5)</f>
        <v>0</v>
      </c>
      <c r="C132" s="239">
        <f t="shared" si="56"/>
        <v>0</v>
      </c>
      <c r="D132" s="239">
        <f t="shared" si="56"/>
        <v>0</v>
      </c>
      <c r="E132" s="239">
        <f t="shared" si="56"/>
        <v>0</v>
      </c>
      <c r="F132" s="239">
        <f t="shared" si="56"/>
        <v>0</v>
      </c>
      <c r="G132" s="239">
        <f t="shared" si="56"/>
        <v>0</v>
      </c>
      <c r="H132" s="239">
        <f t="shared" si="56"/>
        <v>0</v>
      </c>
    </row>
    <row r="133" spans="1:8" ht="15.75" customHeight="1">
      <c r="A133" s="269">
        <f t="shared" si="42"/>
        <v>0</v>
      </c>
      <c r="B133" s="239">
        <f t="shared" ref="B133:H133" si="57">B81-(B81*$G$5)</f>
        <v>0</v>
      </c>
      <c r="C133" s="239">
        <f t="shared" si="57"/>
        <v>0</v>
      </c>
      <c r="D133" s="239">
        <f t="shared" si="57"/>
        <v>0</v>
      </c>
      <c r="E133" s="239">
        <f t="shared" si="57"/>
        <v>0</v>
      </c>
      <c r="F133" s="239">
        <f t="shared" si="57"/>
        <v>0</v>
      </c>
      <c r="G133" s="239">
        <f t="shared" si="57"/>
        <v>0</v>
      </c>
      <c r="H133" s="239">
        <f t="shared" si="57"/>
        <v>0</v>
      </c>
    </row>
    <row r="134" spans="1:8" ht="15.75" customHeight="1">
      <c r="A134" s="269">
        <f t="shared" si="42"/>
        <v>0</v>
      </c>
      <c r="B134" s="239">
        <f t="shared" ref="B134:H134" si="58">B82-(B82*$G$5)</f>
        <v>0</v>
      </c>
      <c r="C134" s="239">
        <f t="shared" si="58"/>
        <v>0</v>
      </c>
      <c r="D134" s="239">
        <f t="shared" si="58"/>
        <v>0</v>
      </c>
      <c r="E134" s="239">
        <f t="shared" si="58"/>
        <v>0</v>
      </c>
      <c r="F134" s="239">
        <f t="shared" si="58"/>
        <v>0</v>
      </c>
      <c r="G134" s="239">
        <f t="shared" si="58"/>
        <v>0</v>
      </c>
      <c r="H134" s="239">
        <f t="shared" si="58"/>
        <v>0</v>
      </c>
    </row>
    <row r="135" spans="1:8" ht="15.75" customHeight="1">
      <c r="A135" s="269">
        <f t="shared" si="42"/>
        <v>0</v>
      </c>
      <c r="B135" s="239">
        <f t="shared" ref="B135:H135" si="59">B83-(B83*$G$5)</f>
        <v>0</v>
      </c>
      <c r="C135" s="239">
        <f t="shared" si="59"/>
        <v>0</v>
      </c>
      <c r="D135" s="239">
        <f t="shared" si="59"/>
        <v>0</v>
      </c>
      <c r="E135" s="239">
        <f t="shared" si="59"/>
        <v>0</v>
      </c>
      <c r="F135" s="239">
        <f t="shared" si="59"/>
        <v>0</v>
      </c>
      <c r="G135" s="239">
        <f t="shared" si="59"/>
        <v>0</v>
      </c>
      <c r="H135" s="239">
        <f t="shared" si="59"/>
        <v>0</v>
      </c>
    </row>
    <row r="136" spans="1:8" ht="15.75" customHeight="1">
      <c r="A136" s="269" t="str">
        <f t="shared" si="42"/>
        <v>Groundnut</v>
      </c>
      <c r="B136" s="239">
        <f t="shared" ref="B136:H136" si="60">B84-(B84*$G$5)</f>
        <v>0</v>
      </c>
      <c r="C136" s="239">
        <f t="shared" si="60"/>
        <v>0</v>
      </c>
      <c r="D136" s="239">
        <f t="shared" si="60"/>
        <v>0</v>
      </c>
      <c r="E136" s="239">
        <f t="shared" si="60"/>
        <v>0</v>
      </c>
      <c r="F136" s="239">
        <f t="shared" si="60"/>
        <v>0</v>
      </c>
      <c r="G136" s="239">
        <f t="shared" si="60"/>
        <v>0</v>
      </c>
      <c r="H136" s="239">
        <f t="shared" si="60"/>
        <v>0</v>
      </c>
    </row>
    <row r="137" spans="1:8" ht="15.75" customHeight="1">
      <c r="A137" s="269">
        <f t="shared" si="42"/>
        <v>0</v>
      </c>
      <c r="B137" s="239">
        <f t="shared" ref="B137:H137" si="61">B85-(B85*$G$5)</f>
        <v>0</v>
      </c>
      <c r="C137" s="239">
        <f t="shared" si="61"/>
        <v>0</v>
      </c>
      <c r="D137" s="239">
        <f t="shared" si="61"/>
        <v>0</v>
      </c>
      <c r="E137" s="239">
        <f t="shared" si="61"/>
        <v>0</v>
      </c>
      <c r="F137" s="239">
        <f t="shared" si="61"/>
        <v>0</v>
      </c>
      <c r="G137" s="239">
        <f t="shared" si="61"/>
        <v>0</v>
      </c>
      <c r="H137" s="239">
        <f t="shared" si="61"/>
        <v>0</v>
      </c>
    </row>
    <row r="138" spans="1:8" ht="15.75" customHeight="1">
      <c r="A138" s="269">
        <f t="shared" si="42"/>
        <v>0</v>
      </c>
      <c r="B138" s="239">
        <f t="shared" ref="B138:H138" si="62">B86-(B86*$G$5)</f>
        <v>0</v>
      </c>
      <c r="C138" s="239">
        <f t="shared" si="62"/>
        <v>0</v>
      </c>
      <c r="D138" s="239">
        <f t="shared" si="62"/>
        <v>0</v>
      </c>
      <c r="E138" s="239">
        <f t="shared" si="62"/>
        <v>0</v>
      </c>
      <c r="F138" s="239">
        <f t="shared" si="62"/>
        <v>0</v>
      </c>
      <c r="G138" s="239">
        <f t="shared" si="62"/>
        <v>0</v>
      </c>
      <c r="H138" s="239">
        <f t="shared" si="62"/>
        <v>0</v>
      </c>
    </row>
    <row r="139" spans="1:8" ht="15.75" customHeight="1">
      <c r="A139" s="269">
        <f t="shared" si="42"/>
        <v>0</v>
      </c>
      <c r="B139" s="239">
        <f t="shared" ref="B139:H139" si="63">B87-(B87*$G$5)</f>
        <v>0</v>
      </c>
      <c r="C139" s="239">
        <f t="shared" si="63"/>
        <v>0</v>
      </c>
      <c r="D139" s="239">
        <f t="shared" si="63"/>
        <v>0</v>
      </c>
      <c r="E139" s="239">
        <f t="shared" si="63"/>
        <v>0</v>
      </c>
      <c r="F139" s="239">
        <f t="shared" si="63"/>
        <v>0</v>
      </c>
      <c r="G139" s="239">
        <f t="shared" si="63"/>
        <v>0</v>
      </c>
      <c r="H139" s="239">
        <f t="shared" si="63"/>
        <v>0</v>
      </c>
    </row>
    <row r="140" spans="1:8" ht="15.75" customHeight="1">
      <c r="A140" s="269">
        <f t="shared" si="42"/>
        <v>0</v>
      </c>
      <c r="B140" s="239">
        <f t="shared" ref="B140:H140" si="64">B88-(B88*$G$5)</f>
        <v>0</v>
      </c>
      <c r="C140" s="239">
        <f t="shared" si="64"/>
        <v>0</v>
      </c>
      <c r="D140" s="239">
        <f t="shared" si="64"/>
        <v>0</v>
      </c>
      <c r="E140" s="239">
        <f t="shared" si="64"/>
        <v>0</v>
      </c>
      <c r="F140" s="239">
        <f t="shared" si="64"/>
        <v>0</v>
      </c>
      <c r="G140" s="239">
        <f t="shared" si="64"/>
        <v>0</v>
      </c>
      <c r="H140" s="239">
        <f t="shared" si="64"/>
        <v>0</v>
      </c>
    </row>
    <row r="141" spans="1:8" ht="15.75" customHeight="1">
      <c r="A141" s="78"/>
      <c r="B141" s="239"/>
      <c r="C141" s="239"/>
      <c r="D141" s="239"/>
      <c r="E141" s="239"/>
      <c r="F141" s="239"/>
      <c r="G141" s="239"/>
      <c r="H141" s="239"/>
    </row>
    <row r="142" spans="1:8" ht="15.75" customHeight="1">
      <c r="A142" s="265" t="str">
        <f t="shared" ref="A142:A167" si="65">A90</f>
        <v>Fruit  &amp; Vegetables Crop Production Details</v>
      </c>
      <c r="B142" s="239"/>
      <c r="C142" s="239"/>
      <c r="D142" s="239"/>
      <c r="E142" s="239"/>
      <c r="F142" s="239"/>
      <c r="G142" s="239"/>
      <c r="H142" s="239"/>
    </row>
    <row r="143" spans="1:8" ht="15.75" customHeight="1">
      <c r="A143" s="269" t="str">
        <f t="shared" si="65"/>
        <v>Onion</v>
      </c>
      <c r="B143" s="239">
        <f t="shared" ref="B143:H143" si="66">B91-(B91*$G$6)</f>
        <v>0</v>
      </c>
      <c r="C143" s="239">
        <f t="shared" si="66"/>
        <v>0</v>
      </c>
      <c r="D143" s="239">
        <f t="shared" si="66"/>
        <v>0</v>
      </c>
      <c r="E143" s="239">
        <f t="shared" si="66"/>
        <v>0</v>
      </c>
      <c r="F143" s="239">
        <f t="shared" si="66"/>
        <v>0</v>
      </c>
      <c r="G143" s="239">
        <f t="shared" si="66"/>
        <v>0</v>
      </c>
      <c r="H143" s="239">
        <f t="shared" si="66"/>
        <v>0</v>
      </c>
    </row>
    <row r="144" spans="1:8" ht="15.75" customHeight="1">
      <c r="A144" s="269" t="str">
        <f t="shared" si="65"/>
        <v>Tomato</v>
      </c>
      <c r="B144" s="239">
        <f t="shared" ref="B144:H144" si="67">B92-(B92*$G$6)</f>
        <v>0</v>
      </c>
      <c r="C144" s="239">
        <f t="shared" si="67"/>
        <v>0</v>
      </c>
      <c r="D144" s="239">
        <f t="shared" si="67"/>
        <v>0</v>
      </c>
      <c r="E144" s="239">
        <f t="shared" si="67"/>
        <v>0</v>
      </c>
      <c r="F144" s="239">
        <f t="shared" si="67"/>
        <v>0</v>
      </c>
      <c r="G144" s="239">
        <f t="shared" si="67"/>
        <v>0</v>
      </c>
      <c r="H144" s="239">
        <f t="shared" si="67"/>
        <v>0</v>
      </c>
    </row>
    <row r="145" spans="1:8" ht="15.75" customHeight="1">
      <c r="A145" s="269" t="str">
        <f t="shared" si="65"/>
        <v>Okra</v>
      </c>
      <c r="B145" s="239">
        <f t="shared" ref="B145:H145" si="68">B93-(B93*$G$6)</f>
        <v>0</v>
      </c>
      <c r="C145" s="239">
        <f t="shared" si="68"/>
        <v>0</v>
      </c>
      <c r="D145" s="239">
        <f t="shared" si="68"/>
        <v>0</v>
      </c>
      <c r="E145" s="239">
        <f t="shared" si="68"/>
        <v>0</v>
      </c>
      <c r="F145" s="239">
        <f t="shared" si="68"/>
        <v>0</v>
      </c>
      <c r="G145" s="239">
        <f t="shared" si="68"/>
        <v>0</v>
      </c>
      <c r="H145" s="239">
        <f t="shared" si="68"/>
        <v>0</v>
      </c>
    </row>
    <row r="146" spans="1:8" ht="15.75" customHeight="1">
      <c r="A146" s="269" t="str">
        <f t="shared" si="65"/>
        <v>Chilli</v>
      </c>
      <c r="B146" s="239">
        <f t="shared" ref="B146:H146" si="69">B94-(B94*$G$6)</f>
        <v>0</v>
      </c>
      <c r="C146" s="239">
        <f t="shared" si="69"/>
        <v>0</v>
      </c>
      <c r="D146" s="239">
        <f t="shared" si="69"/>
        <v>0</v>
      </c>
      <c r="E146" s="239">
        <f t="shared" si="69"/>
        <v>0</v>
      </c>
      <c r="F146" s="239">
        <f t="shared" si="69"/>
        <v>0</v>
      </c>
      <c r="G146" s="239">
        <f t="shared" si="69"/>
        <v>0</v>
      </c>
      <c r="H146" s="239">
        <f t="shared" si="69"/>
        <v>0</v>
      </c>
    </row>
    <row r="147" spans="1:8" ht="15.75" customHeight="1">
      <c r="A147" s="269" t="str">
        <f t="shared" si="65"/>
        <v>Potato</v>
      </c>
      <c r="B147" s="239">
        <f t="shared" ref="B147:H147" si="70">B95-(B95*$G$6)</f>
        <v>0</v>
      </c>
      <c r="C147" s="239">
        <f t="shared" si="70"/>
        <v>0</v>
      </c>
      <c r="D147" s="239">
        <f t="shared" si="70"/>
        <v>0</v>
      </c>
      <c r="E147" s="239">
        <f t="shared" si="70"/>
        <v>0</v>
      </c>
      <c r="F147" s="239">
        <f t="shared" si="70"/>
        <v>0</v>
      </c>
      <c r="G147" s="239">
        <f t="shared" si="70"/>
        <v>0</v>
      </c>
      <c r="H147" s="239">
        <f t="shared" si="70"/>
        <v>0</v>
      </c>
    </row>
    <row r="148" spans="1:8" ht="15.75" customHeight="1">
      <c r="A148" s="269">
        <f t="shared" si="65"/>
        <v>0</v>
      </c>
      <c r="B148" s="239">
        <f t="shared" ref="B148:H148" si="71">B96-(B96*$G$6)</f>
        <v>0</v>
      </c>
      <c r="C148" s="239">
        <f t="shared" si="71"/>
        <v>0</v>
      </c>
      <c r="D148" s="239">
        <f t="shared" si="71"/>
        <v>0</v>
      </c>
      <c r="E148" s="239">
        <f t="shared" si="71"/>
        <v>0</v>
      </c>
      <c r="F148" s="239">
        <f t="shared" si="71"/>
        <v>0</v>
      </c>
      <c r="G148" s="239">
        <f t="shared" si="71"/>
        <v>0</v>
      </c>
      <c r="H148" s="239">
        <f t="shared" si="71"/>
        <v>0</v>
      </c>
    </row>
    <row r="149" spans="1:8" ht="15.75" customHeight="1">
      <c r="A149" s="269">
        <f t="shared" si="65"/>
        <v>0</v>
      </c>
      <c r="B149" s="239">
        <f t="shared" ref="B149:H149" si="72">B97-(B97*$G$6)</f>
        <v>0</v>
      </c>
      <c r="C149" s="239">
        <f t="shared" si="72"/>
        <v>0</v>
      </c>
      <c r="D149" s="239">
        <f t="shared" si="72"/>
        <v>0</v>
      </c>
      <c r="E149" s="239">
        <f t="shared" si="72"/>
        <v>0</v>
      </c>
      <c r="F149" s="239">
        <f t="shared" si="72"/>
        <v>0</v>
      </c>
      <c r="G149" s="239">
        <f t="shared" si="72"/>
        <v>0</v>
      </c>
      <c r="H149" s="239">
        <f t="shared" si="72"/>
        <v>0</v>
      </c>
    </row>
    <row r="150" spans="1:8" ht="15.75" customHeight="1">
      <c r="A150" s="269">
        <f t="shared" si="65"/>
        <v>0</v>
      </c>
      <c r="B150" s="239">
        <f t="shared" ref="B150:H150" si="73">B98-(B98*$G$6)</f>
        <v>0</v>
      </c>
      <c r="C150" s="239">
        <f t="shared" si="73"/>
        <v>0</v>
      </c>
      <c r="D150" s="239">
        <f t="shared" si="73"/>
        <v>0</v>
      </c>
      <c r="E150" s="239">
        <f t="shared" si="73"/>
        <v>0</v>
      </c>
      <c r="F150" s="239">
        <f t="shared" si="73"/>
        <v>0</v>
      </c>
      <c r="G150" s="239">
        <f t="shared" si="73"/>
        <v>0</v>
      </c>
      <c r="H150" s="239">
        <f t="shared" si="73"/>
        <v>0</v>
      </c>
    </row>
    <row r="151" spans="1:8" ht="15.75" customHeight="1">
      <c r="A151" s="269">
        <f t="shared" si="65"/>
        <v>0</v>
      </c>
      <c r="B151" s="239">
        <f t="shared" ref="B151:H151" si="74">B99-(B99*$G$6)</f>
        <v>0</v>
      </c>
      <c r="C151" s="239">
        <f t="shared" si="74"/>
        <v>0</v>
      </c>
      <c r="D151" s="239">
        <f t="shared" si="74"/>
        <v>0</v>
      </c>
      <c r="E151" s="239">
        <f t="shared" si="74"/>
        <v>0</v>
      </c>
      <c r="F151" s="239">
        <f t="shared" si="74"/>
        <v>0</v>
      </c>
      <c r="G151" s="239">
        <f t="shared" si="74"/>
        <v>0</v>
      </c>
      <c r="H151" s="239">
        <f t="shared" si="74"/>
        <v>0</v>
      </c>
    </row>
    <row r="152" spans="1:8" ht="15.75" customHeight="1">
      <c r="A152" s="269" t="str">
        <f t="shared" si="65"/>
        <v>Onion</v>
      </c>
      <c r="B152" s="239">
        <f t="shared" ref="B152:H152" si="75">B100-(B100*$G$6)</f>
        <v>0</v>
      </c>
      <c r="C152" s="239">
        <f t="shared" si="75"/>
        <v>0</v>
      </c>
      <c r="D152" s="239">
        <f t="shared" si="75"/>
        <v>0</v>
      </c>
      <c r="E152" s="239">
        <f t="shared" si="75"/>
        <v>0</v>
      </c>
      <c r="F152" s="239">
        <f t="shared" si="75"/>
        <v>0</v>
      </c>
      <c r="G152" s="239">
        <f t="shared" si="75"/>
        <v>0</v>
      </c>
      <c r="H152" s="239">
        <f t="shared" si="75"/>
        <v>0</v>
      </c>
    </row>
    <row r="153" spans="1:8" ht="15.75" customHeight="1">
      <c r="A153" s="269" t="str">
        <f t="shared" si="65"/>
        <v>Tomato</v>
      </c>
      <c r="B153" s="239">
        <f t="shared" ref="B153:H153" si="76">B101-(B101*$G$6)</f>
        <v>0</v>
      </c>
      <c r="C153" s="239">
        <f t="shared" si="76"/>
        <v>0</v>
      </c>
      <c r="D153" s="239">
        <f t="shared" si="76"/>
        <v>0</v>
      </c>
      <c r="E153" s="239">
        <f t="shared" si="76"/>
        <v>0</v>
      </c>
      <c r="F153" s="239">
        <f t="shared" si="76"/>
        <v>0</v>
      </c>
      <c r="G153" s="239">
        <f t="shared" si="76"/>
        <v>0</v>
      </c>
      <c r="H153" s="239">
        <f t="shared" si="76"/>
        <v>0</v>
      </c>
    </row>
    <row r="154" spans="1:8" ht="15.75" customHeight="1">
      <c r="A154" s="269" t="str">
        <f t="shared" si="65"/>
        <v>Okra</v>
      </c>
      <c r="B154" s="239">
        <f t="shared" ref="B154:H154" si="77">B102-(B102*$G$6)</f>
        <v>0</v>
      </c>
      <c r="C154" s="239">
        <f t="shared" si="77"/>
        <v>0</v>
      </c>
      <c r="D154" s="239">
        <f t="shared" si="77"/>
        <v>0</v>
      </c>
      <c r="E154" s="239">
        <f t="shared" si="77"/>
        <v>0</v>
      </c>
      <c r="F154" s="239">
        <f t="shared" si="77"/>
        <v>0</v>
      </c>
      <c r="G154" s="239">
        <f t="shared" si="77"/>
        <v>0</v>
      </c>
      <c r="H154" s="239">
        <f t="shared" si="77"/>
        <v>0</v>
      </c>
    </row>
    <row r="155" spans="1:8" ht="15.75" customHeight="1">
      <c r="A155" s="269" t="str">
        <f t="shared" si="65"/>
        <v>Chilli</v>
      </c>
      <c r="B155" s="239">
        <f t="shared" ref="B155:H155" si="78">B103-(B103*$G$6)</f>
        <v>0</v>
      </c>
      <c r="C155" s="239">
        <f t="shared" si="78"/>
        <v>0</v>
      </c>
      <c r="D155" s="239">
        <f t="shared" si="78"/>
        <v>0</v>
      </c>
      <c r="E155" s="239">
        <f t="shared" si="78"/>
        <v>0</v>
      </c>
      <c r="F155" s="239">
        <f t="shared" si="78"/>
        <v>0</v>
      </c>
      <c r="G155" s="239">
        <f t="shared" si="78"/>
        <v>0</v>
      </c>
      <c r="H155" s="239">
        <f t="shared" si="78"/>
        <v>0</v>
      </c>
    </row>
    <row r="156" spans="1:8" ht="15.75" customHeight="1">
      <c r="A156" s="269" t="str">
        <f t="shared" si="65"/>
        <v>Brinjal</v>
      </c>
      <c r="B156" s="239">
        <f t="shared" ref="B156:H156" si="79">B104-(B104*$G$6)</f>
        <v>0</v>
      </c>
      <c r="C156" s="239">
        <f t="shared" si="79"/>
        <v>0</v>
      </c>
      <c r="D156" s="239">
        <f t="shared" si="79"/>
        <v>0</v>
      </c>
      <c r="E156" s="239">
        <f t="shared" si="79"/>
        <v>0</v>
      </c>
      <c r="F156" s="239">
        <f t="shared" si="79"/>
        <v>0</v>
      </c>
      <c r="G156" s="239">
        <f t="shared" si="79"/>
        <v>0</v>
      </c>
      <c r="H156" s="239">
        <f t="shared" si="79"/>
        <v>0</v>
      </c>
    </row>
    <row r="157" spans="1:8" ht="15.75" customHeight="1">
      <c r="A157" s="269">
        <f t="shared" si="65"/>
        <v>0</v>
      </c>
      <c r="B157" s="239">
        <f t="shared" ref="B157:H157" si="80">B105-(B105*$G$6)</f>
        <v>0</v>
      </c>
      <c r="C157" s="239">
        <f t="shared" si="80"/>
        <v>0</v>
      </c>
      <c r="D157" s="239">
        <f t="shared" si="80"/>
        <v>0</v>
      </c>
      <c r="E157" s="239">
        <f t="shared" si="80"/>
        <v>0</v>
      </c>
      <c r="F157" s="239">
        <f t="shared" si="80"/>
        <v>0</v>
      </c>
      <c r="G157" s="239">
        <f t="shared" si="80"/>
        <v>0</v>
      </c>
      <c r="H157" s="239">
        <f t="shared" si="80"/>
        <v>0</v>
      </c>
    </row>
    <row r="158" spans="1:8" ht="15.75" customHeight="1">
      <c r="A158" s="269">
        <f t="shared" si="65"/>
        <v>0</v>
      </c>
      <c r="B158" s="239">
        <f t="shared" ref="B158:H158" si="81">B106-(B106*$G$6)</f>
        <v>0</v>
      </c>
      <c r="C158" s="239">
        <f t="shared" si="81"/>
        <v>0</v>
      </c>
      <c r="D158" s="239">
        <f t="shared" si="81"/>
        <v>0</v>
      </c>
      <c r="E158" s="239">
        <f t="shared" si="81"/>
        <v>0</v>
      </c>
      <c r="F158" s="239">
        <f t="shared" si="81"/>
        <v>0</v>
      </c>
      <c r="G158" s="239">
        <f t="shared" si="81"/>
        <v>0</v>
      </c>
      <c r="H158" s="239">
        <f t="shared" si="81"/>
        <v>0</v>
      </c>
    </row>
    <row r="159" spans="1:8" ht="15.75" customHeight="1">
      <c r="A159" s="269">
        <f t="shared" si="65"/>
        <v>0</v>
      </c>
      <c r="B159" s="239">
        <f t="shared" ref="B159:H159" si="82">B107-(B107*$G$6)</f>
        <v>0</v>
      </c>
      <c r="C159" s="239">
        <f t="shared" si="82"/>
        <v>0</v>
      </c>
      <c r="D159" s="239">
        <f t="shared" si="82"/>
        <v>0</v>
      </c>
      <c r="E159" s="239">
        <f t="shared" si="82"/>
        <v>0</v>
      </c>
      <c r="F159" s="239">
        <f t="shared" si="82"/>
        <v>0</v>
      </c>
      <c r="G159" s="239">
        <f t="shared" si="82"/>
        <v>0</v>
      </c>
      <c r="H159" s="239">
        <f t="shared" si="82"/>
        <v>0</v>
      </c>
    </row>
    <row r="160" spans="1:8" ht="15.75" customHeight="1">
      <c r="A160" s="269">
        <f t="shared" si="65"/>
        <v>0</v>
      </c>
      <c r="B160" s="239">
        <f t="shared" ref="B160:H160" si="83">B108-(B108*$G$6)</f>
        <v>0</v>
      </c>
      <c r="C160" s="239">
        <f t="shared" si="83"/>
        <v>0</v>
      </c>
      <c r="D160" s="239">
        <f t="shared" si="83"/>
        <v>0</v>
      </c>
      <c r="E160" s="239">
        <f t="shared" si="83"/>
        <v>0</v>
      </c>
      <c r="F160" s="239">
        <f t="shared" si="83"/>
        <v>0</v>
      </c>
      <c r="G160" s="239">
        <f t="shared" si="83"/>
        <v>0</v>
      </c>
      <c r="H160" s="239">
        <f t="shared" si="83"/>
        <v>0</v>
      </c>
    </row>
    <row r="161" spans="1:20" ht="15.75" customHeight="1">
      <c r="A161" s="269">
        <f t="shared" si="65"/>
        <v>0</v>
      </c>
      <c r="B161" s="239">
        <f t="shared" ref="B161:H161" si="84">B109-(B109*$G$6)</f>
        <v>0</v>
      </c>
      <c r="C161" s="239">
        <f t="shared" si="84"/>
        <v>0</v>
      </c>
      <c r="D161" s="239">
        <f t="shared" si="84"/>
        <v>0</v>
      </c>
      <c r="E161" s="239">
        <f t="shared" si="84"/>
        <v>0</v>
      </c>
      <c r="F161" s="239">
        <f t="shared" si="84"/>
        <v>0</v>
      </c>
      <c r="G161" s="239">
        <f t="shared" si="84"/>
        <v>0</v>
      </c>
      <c r="H161" s="239">
        <f t="shared" si="84"/>
        <v>0</v>
      </c>
    </row>
    <row r="162" spans="1:20" ht="15.75" customHeight="1">
      <c r="A162" s="269">
        <f t="shared" si="65"/>
        <v>0</v>
      </c>
      <c r="B162" s="239">
        <f t="shared" ref="B162:H162" si="85">B110-(B110*$G$6)</f>
        <v>0</v>
      </c>
      <c r="C162" s="239">
        <f t="shared" si="85"/>
        <v>0</v>
      </c>
      <c r="D162" s="239">
        <f t="shared" si="85"/>
        <v>0</v>
      </c>
      <c r="E162" s="239">
        <f t="shared" si="85"/>
        <v>0</v>
      </c>
      <c r="F162" s="239">
        <f t="shared" si="85"/>
        <v>0</v>
      </c>
      <c r="G162" s="239">
        <f t="shared" si="85"/>
        <v>0</v>
      </c>
      <c r="H162" s="239">
        <f t="shared" si="85"/>
        <v>0</v>
      </c>
    </row>
    <row r="163" spans="1:20" ht="15.75" customHeight="1">
      <c r="A163" s="269">
        <f t="shared" si="65"/>
        <v>0</v>
      </c>
      <c r="B163" s="239">
        <f t="shared" ref="B163:H163" si="86">B111-(B111*$G$6)</f>
        <v>0</v>
      </c>
      <c r="C163" s="239">
        <f t="shared" si="86"/>
        <v>0</v>
      </c>
      <c r="D163" s="239">
        <f t="shared" si="86"/>
        <v>0</v>
      </c>
      <c r="E163" s="239">
        <f t="shared" si="86"/>
        <v>0</v>
      </c>
      <c r="F163" s="239">
        <f t="shared" si="86"/>
        <v>0</v>
      </c>
      <c r="G163" s="239">
        <f t="shared" si="86"/>
        <v>0</v>
      </c>
      <c r="H163" s="239">
        <f t="shared" si="86"/>
        <v>0</v>
      </c>
    </row>
    <row r="164" spans="1:20" ht="15.75" customHeight="1">
      <c r="A164" s="269" t="str">
        <f t="shared" si="65"/>
        <v>Pomegranate</v>
      </c>
      <c r="B164" s="239">
        <f t="shared" ref="B164:H164" si="87">B112-(B112*$G$6)</f>
        <v>0</v>
      </c>
      <c r="C164" s="239">
        <f t="shared" si="87"/>
        <v>0</v>
      </c>
      <c r="D164" s="239">
        <f t="shared" si="87"/>
        <v>0</v>
      </c>
      <c r="E164" s="239">
        <f t="shared" si="87"/>
        <v>0</v>
      </c>
      <c r="F164" s="239">
        <f t="shared" si="87"/>
        <v>0</v>
      </c>
      <c r="G164" s="239">
        <f t="shared" si="87"/>
        <v>0</v>
      </c>
      <c r="H164" s="239">
        <f t="shared" si="87"/>
        <v>0</v>
      </c>
    </row>
    <row r="165" spans="1:20" ht="15.75" customHeight="1">
      <c r="A165" s="269" t="str">
        <f t="shared" si="65"/>
        <v>Custard Apple</v>
      </c>
      <c r="B165" s="239">
        <f t="shared" ref="B165:H165" si="88">B113-(B113*$G$6)</f>
        <v>0</v>
      </c>
      <c r="C165" s="239">
        <f t="shared" si="88"/>
        <v>0</v>
      </c>
      <c r="D165" s="239">
        <f t="shared" si="88"/>
        <v>0</v>
      </c>
      <c r="E165" s="239">
        <f t="shared" si="88"/>
        <v>0</v>
      </c>
      <c r="F165" s="239">
        <f t="shared" si="88"/>
        <v>0</v>
      </c>
      <c r="G165" s="239">
        <f t="shared" si="88"/>
        <v>0</v>
      </c>
      <c r="H165" s="239">
        <f t="shared" si="88"/>
        <v>0</v>
      </c>
    </row>
    <row r="166" spans="1:20" ht="15.75" customHeight="1">
      <c r="A166" s="269" t="str">
        <f t="shared" si="65"/>
        <v>Guava</v>
      </c>
      <c r="B166" s="239">
        <f t="shared" ref="B166:H166" si="89">B114-(B114*$G$6)</f>
        <v>0</v>
      </c>
      <c r="C166" s="239">
        <f t="shared" si="89"/>
        <v>0</v>
      </c>
      <c r="D166" s="239">
        <f t="shared" si="89"/>
        <v>0</v>
      </c>
      <c r="E166" s="239">
        <f t="shared" si="89"/>
        <v>0</v>
      </c>
      <c r="F166" s="239">
        <f t="shared" si="89"/>
        <v>0</v>
      </c>
      <c r="G166" s="239">
        <f t="shared" si="89"/>
        <v>0</v>
      </c>
      <c r="H166" s="239">
        <f t="shared" si="89"/>
        <v>0</v>
      </c>
    </row>
    <row r="167" spans="1:20" ht="15.75" customHeight="1">
      <c r="A167" s="269" t="str">
        <f t="shared" si="65"/>
        <v>Citrus</v>
      </c>
      <c r="B167" s="239">
        <f t="shared" ref="B167:H167" si="90">B115-(B115*$G$6)</f>
        <v>0</v>
      </c>
      <c r="C167" s="239">
        <f t="shared" si="90"/>
        <v>0</v>
      </c>
      <c r="D167" s="239">
        <f t="shared" si="90"/>
        <v>0</v>
      </c>
      <c r="E167" s="239">
        <f t="shared" si="90"/>
        <v>0</v>
      </c>
      <c r="F167" s="239">
        <f t="shared" si="90"/>
        <v>0</v>
      </c>
      <c r="G167" s="239">
        <f t="shared" si="90"/>
        <v>0</v>
      </c>
      <c r="H167" s="239">
        <f t="shared" si="90"/>
        <v>0</v>
      </c>
    </row>
    <row r="168" spans="1:20" ht="15.75" customHeight="1">
      <c r="A168" s="73"/>
    </row>
    <row r="169" spans="1:20" ht="15.75" customHeight="1">
      <c r="A169" s="340" t="s">
        <v>729</v>
      </c>
      <c r="B169" s="324"/>
      <c r="C169" s="324"/>
      <c r="D169" s="324"/>
      <c r="E169" s="324"/>
      <c r="F169" s="324"/>
      <c r="G169" s="324"/>
      <c r="H169" s="324"/>
      <c r="I169" s="324"/>
      <c r="J169" s="324"/>
    </row>
    <row r="170" spans="1:20" ht="15.75" customHeight="1">
      <c r="A170" s="26"/>
      <c r="B170" s="26"/>
      <c r="C170" s="26"/>
      <c r="D170" s="26"/>
      <c r="E170" s="26"/>
      <c r="F170" s="26"/>
      <c r="G170" s="26"/>
      <c r="H170" s="26"/>
    </row>
    <row r="171" spans="1:20" ht="15.75" customHeight="1">
      <c r="A171" s="96"/>
      <c r="B171" s="96"/>
      <c r="C171" s="96"/>
      <c r="D171" s="270">
        <v>0.7</v>
      </c>
      <c r="E171" s="271">
        <v>0.75</v>
      </c>
      <c r="F171" s="271">
        <v>0.8</v>
      </c>
      <c r="G171" s="271">
        <v>0.85</v>
      </c>
      <c r="H171" s="271">
        <v>0.9</v>
      </c>
      <c r="I171" s="271">
        <v>0.95</v>
      </c>
      <c r="J171" s="271">
        <v>1</v>
      </c>
      <c r="K171" s="73"/>
      <c r="L171" s="73"/>
      <c r="M171" s="73"/>
      <c r="N171" s="73"/>
      <c r="O171" s="73"/>
      <c r="P171" s="73"/>
      <c r="Q171" s="73"/>
      <c r="R171" s="73"/>
      <c r="S171" s="73"/>
      <c r="T171" s="73"/>
    </row>
    <row r="172" spans="1:20" ht="15.75" customHeight="1">
      <c r="A172" s="73"/>
      <c r="B172" s="73"/>
      <c r="C172" s="73"/>
      <c r="D172" s="73"/>
      <c r="E172" s="73"/>
      <c r="F172" s="73"/>
      <c r="G172" s="73"/>
      <c r="H172" s="73"/>
      <c r="I172" s="73"/>
      <c r="J172" s="73"/>
      <c r="K172" s="73"/>
      <c r="L172" s="73"/>
      <c r="M172" s="73"/>
      <c r="N172" s="73"/>
      <c r="O172" s="73"/>
      <c r="P172" s="73"/>
      <c r="Q172" s="73"/>
      <c r="R172" s="73"/>
      <c r="S172" s="73"/>
      <c r="T172" s="73"/>
    </row>
    <row r="173" spans="1:20" ht="15.75" customHeight="1">
      <c r="A173" s="73"/>
      <c r="B173" s="73"/>
      <c r="C173" s="73"/>
      <c r="D173" s="74"/>
      <c r="E173" s="74"/>
      <c r="F173" s="74"/>
      <c r="G173" s="74"/>
      <c r="H173" s="74"/>
      <c r="I173" s="74"/>
      <c r="J173" s="74"/>
      <c r="K173" s="73"/>
      <c r="L173" s="73"/>
    </row>
    <row r="174" spans="1:20" ht="15.75" customHeight="1">
      <c r="A174" s="129" t="s">
        <v>142</v>
      </c>
      <c r="B174" s="129"/>
      <c r="C174" s="129" t="s">
        <v>126</v>
      </c>
      <c r="D174" s="130" t="s">
        <v>145</v>
      </c>
      <c r="E174" s="130" t="s">
        <v>146</v>
      </c>
      <c r="F174" s="130" t="s">
        <v>147</v>
      </c>
      <c r="G174" s="130" t="s">
        <v>148</v>
      </c>
      <c r="H174" s="130" t="s">
        <v>149</v>
      </c>
      <c r="I174" s="130" t="s">
        <v>150</v>
      </c>
      <c r="J174" s="130" t="s">
        <v>151</v>
      </c>
      <c r="K174" s="73"/>
      <c r="L174" s="73"/>
    </row>
    <row r="175" spans="1:20" ht="15.75" customHeight="1">
      <c r="A175" s="81"/>
      <c r="B175" s="81"/>
      <c r="C175" s="81"/>
      <c r="D175" s="78"/>
      <c r="E175" s="78"/>
      <c r="F175" s="78"/>
      <c r="G175" s="78"/>
      <c r="H175" s="78"/>
      <c r="I175" s="78"/>
      <c r="J175" s="78"/>
      <c r="K175" s="73"/>
      <c r="L175" s="73"/>
    </row>
    <row r="176" spans="1:20" ht="15.75" customHeight="1">
      <c r="A176" s="81" t="s">
        <v>339</v>
      </c>
      <c r="B176" s="81"/>
      <c r="C176" s="81"/>
      <c r="D176" s="78"/>
      <c r="E176" s="78"/>
      <c r="F176" s="78"/>
      <c r="G176" s="78"/>
      <c r="H176" s="78"/>
      <c r="I176" s="78"/>
      <c r="J176" s="78"/>
      <c r="K176" s="73"/>
      <c r="L176" s="73"/>
    </row>
    <row r="177" spans="1:12" ht="15.75" customHeight="1">
      <c r="A177" s="269" t="str">
        <f t="shared" ref="A177:A197" si="91">A119</f>
        <v>Soybean</v>
      </c>
      <c r="B177" s="78" t="s">
        <v>571</v>
      </c>
      <c r="C177" s="272">
        <v>0</v>
      </c>
      <c r="D177" s="269">
        <f>(B119*(1-'5.Closing Stock &amp; W Capital'!$D$16))*C$177*D171</f>
        <v>0</v>
      </c>
      <c r="E177" s="269">
        <f>((C119*(1-'5.Closing Stock &amp; W Capital'!$D$16))+(B119*'5.Closing Stock &amp; W Capital'!$D$16))*$C177*E$171</f>
        <v>0</v>
      </c>
      <c r="F177" s="269">
        <f>((D119*(1-'5.Closing Stock &amp; W Capital'!$D$16))+(C119*'5.Closing Stock &amp; W Capital'!$D$16))*$C177*F$171</f>
        <v>0</v>
      </c>
      <c r="G177" s="269">
        <f>((E119*(1-'5.Closing Stock &amp; W Capital'!$D$16))+(D119*'5.Closing Stock &amp; W Capital'!$D$16))*$C177*G$171</f>
        <v>0</v>
      </c>
      <c r="H177" s="269">
        <f>((F119*(1-'5.Closing Stock &amp; W Capital'!$D$16))+(E119*'5.Closing Stock &amp; W Capital'!$D$16))*$C177*H$171</f>
        <v>0</v>
      </c>
      <c r="I177" s="269">
        <f>((G119*(1-'5.Closing Stock &amp; W Capital'!$D$16))+(F119*'5.Closing Stock &amp; W Capital'!$D$16))*$C177*I$171</f>
        <v>0</v>
      </c>
      <c r="J177" s="269">
        <f>((H119*(1-'5.Closing Stock &amp; W Capital'!$D$16))+(G119*'5.Closing Stock &amp; W Capital'!$D$16))*$C177*J$171</f>
        <v>0</v>
      </c>
      <c r="K177" s="73"/>
      <c r="L177" s="73"/>
    </row>
    <row r="178" spans="1:12" ht="15.75" customHeight="1">
      <c r="A178" s="269" t="str">
        <f t="shared" si="91"/>
        <v>Red Gram/Tur</v>
      </c>
      <c r="B178" s="78" t="s">
        <v>571</v>
      </c>
      <c r="C178" s="272">
        <v>0</v>
      </c>
      <c r="D178" s="269">
        <f>(B120*(1-'5.Closing Stock &amp; W Capital'!$D$16))*$C178*D$171</f>
        <v>0</v>
      </c>
      <c r="E178" s="269">
        <f>((C120*(1-'5.Closing Stock &amp; W Capital'!$D$16))+(B120*'5.Closing Stock &amp; W Capital'!$D$16))*$C178*E$171</f>
        <v>0</v>
      </c>
      <c r="F178" s="269">
        <f>((D120*(1-'5.Closing Stock &amp; W Capital'!$D$16))+(C120*'5.Closing Stock &amp; W Capital'!$D$16))*$C178*F$171</f>
        <v>0</v>
      </c>
      <c r="G178" s="269">
        <f>((E120*(1-'5.Closing Stock &amp; W Capital'!$D$16))+(D120*'5.Closing Stock &amp; W Capital'!$D$16))*$C178*G$171</f>
        <v>0</v>
      </c>
      <c r="H178" s="269">
        <f>((F120*(1-'5.Closing Stock &amp; W Capital'!$D$16))+(E120*'5.Closing Stock &amp; W Capital'!$D$16))*$C178*H$171</f>
        <v>0</v>
      </c>
      <c r="I178" s="269">
        <f>((G120*(1-'5.Closing Stock &amp; W Capital'!$D$16))+(F120*'5.Closing Stock &amp; W Capital'!$D$16))*$C178*I$171</f>
        <v>0</v>
      </c>
      <c r="J178" s="269">
        <f>((H120*(1-'5.Closing Stock &amp; W Capital'!$D$16))+(G120*'5.Closing Stock &amp; W Capital'!$D$16))*$C178*J$171</f>
        <v>0</v>
      </c>
      <c r="K178" s="73"/>
      <c r="L178" s="73"/>
    </row>
    <row r="179" spans="1:12" ht="15.75" customHeight="1">
      <c r="A179" s="269" t="str">
        <f t="shared" si="91"/>
        <v>Paddy/Rice</v>
      </c>
      <c r="B179" s="78" t="s">
        <v>571</v>
      </c>
      <c r="C179" s="272">
        <v>450</v>
      </c>
      <c r="D179" s="269">
        <f>(B121*(1-'5.Closing Stock &amp; W Capital'!$D$16))*$C179*D$171</f>
        <v>1799326.6593749998</v>
      </c>
      <c r="E179" s="269">
        <f>((C121*(1-'5.Closing Stock &amp; W Capital'!$D$16))+(B121*'5.Closing Stock &amp; W Capital'!$D$16))*$C179*E$171</f>
        <v>2125708.2808593754</v>
      </c>
      <c r="F179" s="269">
        <f>((D121*(1-'5.Closing Stock &amp; W Capital'!$D$16))+(C121*'5.Closing Stock &amp; W Capital'!$D$16))*$C179*F$171</f>
        <v>2380793.2745625</v>
      </c>
      <c r="G179" s="269">
        <f>((E121*(1-'5.Closing Stock &amp; W Capital'!$D$16))+(D121*'5.Closing Stock &amp; W Capital'!$D$16))*$C179*G$171</f>
        <v>2656072.496933789</v>
      </c>
      <c r="H179" s="269">
        <f>((F121*(1-'5.Closing Stock &amp; W Capital'!$D$16))+(E121*'5.Closing Stock &amp; W Capital'!$D$16))*$C179*H$171</f>
        <v>2952927.6583558014</v>
      </c>
      <c r="I179" s="269">
        <f>((G121*(1-'5.Closing Stock &amp; W Capital'!$D$16))+(F121*'5.Closing Stock &amp; W Capital'!$D$16))*$C179*I$171</f>
        <v>3272828.1546776793</v>
      </c>
      <c r="J179" s="269">
        <f>((H121*(1-'5.Closing Stock &amp; W Capital'!$D$16))+(G121*'5.Closing Stock &amp; W Capital'!$D$16))*$C179*J$171</f>
        <v>3617336.3814858566</v>
      </c>
      <c r="K179" s="73"/>
      <c r="L179" s="73"/>
    </row>
    <row r="180" spans="1:12" ht="15.75" customHeight="1">
      <c r="A180" s="269" t="str">
        <f t="shared" si="91"/>
        <v>Green Gram/ Moong</v>
      </c>
      <c r="B180" s="78" t="s">
        <v>571</v>
      </c>
      <c r="C180" s="272"/>
      <c r="D180" s="269">
        <f>(B122*(1-'5.Closing Stock &amp; W Capital'!$D$16))*$C180*D$171</f>
        <v>0</v>
      </c>
      <c r="E180" s="269">
        <f>((C122*(1-'5.Closing Stock &amp; W Capital'!$D$16))+(B122*'5.Closing Stock &amp; W Capital'!$D$16))*$C180*E$171</f>
        <v>0</v>
      </c>
      <c r="F180" s="269">
        <f>((D122*(1-'5.Closing Stock &amp; W Capital'!$D$16))+(C122*'5.Closing Stock &amp; W Capital'!$D$16))*$C180*F$171</f>
        <v>0</v>
      </c>
      <c r="G180" s="269">
        <f>((E122*(1-'5.Closing Stock &amp; W Capital'!$D$16))+(D122*'5.Closing Stock &amp; W Capital'!$D$16))*$C180*G$171</f>
        <v>0</v>
      </c>
      <c r="H180" s="269">
        <f>((F122*(1-'5.Closing Stock &amp; W Capital'!$D$16))+(E122*'5.Closing Stock &amp; W Capital'!$D$16))*$C180*H$171</f>
        <v>0</v>
      </c>
      <c r="I180" s="269">
        <f>((G122*(1-'5.Closing Stock &amp; W Capital'!$D$16))+(F122*'5.Closing Stock &amp; W Capital'!$D$16))*$C180*I$171</f>
        <v>0</v>
      </c>
      <c r="J180" s="269">
        <f>((H122*(1-'5.Closing Stock &amp; W Capital'!$D$16))+(G122*'5.Closing Stock &amp; W Capital'!$D$16))*$C180*J$171</f>
        <v>0</v>
      </c>
      <c r="K180" s="73"/>
      <c r="L180" s="73"/>
    </row>
    <row r="181" spans="1:12" ht="15.75" customHeight="1">
      <c r="A181" s="269" t="str">
        <f t="shared" si="91"/>
        <v>Maize</v>
      </c>
      <c r="B181" s="78" t="s">
        <v>571</v>
      </c>
      <c r="C181" s="272"/>
      <c r="D181" s="269">
        <f>(B123*(1-'5.Closing Stock &amp; W Capital'!$D$16))*$C181*D$171</f>
        <v>0</v>
      </c>
      <c r="E181" s="269">
        <f>((C123*(1-'5.Closing Stock &amp; W Capital'!$D$16))+(B123*'5.Closing Stock &amp; W Capital'!$D$16))*$C181*E$171</f>
        <v>0</v>
      </c>
      <c r="F181" s="269">
        <f>((D123*(1-'5.Closing Stock &amp; W Capital'!$D$16))+(C123*'5.Closing Stock &amp; W Capital'!$D$16))*$C181*F$171</f>
        <v>0</v>
      </c>
      <c r="G181" s="269">
        <f>((E123*(1-'5.Closing Stock &amp; W Capital'!$D$16))+(D123*'5.Closing Stock &amp; W Capital'!$D$16))*$C181*G$171</f>
        <v>0</v>
      </c>
      <c r="H181" s="269">
        <f>((F123*(1-'5.Closing Stock &amp; W Capital'!$D$16))+(E123*'5.Closing Stock &amp; W Capital'!$D$16))*$C181*H$171</f>
        <v>0</v>
      </c>
      <c r="I181" s="269">
        <f>((G123*(1-'5.Closing Stock &amp; W Capital'!$D$16))+(F123*'5.Closing Stock &amp; W Capital'!$D$16))*$C181*I$171</f>
        <v>0</v>
      </c>
      <c r="J181" s="269">
        <f>((H123*(1-'5.Closing Stock &amp; W Capital'!$D$16))+(G123*'5.Closing Stock &amp; W Capital'!$D$16))*$C181*J$171</f>
        <v>0</v>
      </c>
      <c r="K181" s="73"/>
      <c r="L181" s="73"/>
    </row>
    <row r="182" spans="1:12" ht="15.75" customHeight="1">
      <c r="A182" s="269" t="str">
        <f t="shared" si="91"/>
        <v>Black Gram/Udid</v>
      </c>
      <c r="B182" s="78" t="s">
        <v>571</v>
      </c>
      <c r="C182" s="272">
        <v>0</v>
      </c>
      <c r="D182" s="269">
        <f>(B124*(1-'5.Closing Stock &amp; W Capital'!$D$16))*$C182*D$171</f>
        <v>0</v>
      </c>
      <c r="E182" s="269">
        <f>((C124*(1-'5.Closing Stock &amp; W Capital'!$D$16))+(B124*'5.Closing Stock &amp; W Capital'!$D$16))*$C182*E$171</f>
        <v>0</v>
      </c>
      <c r="F182" s="269">
        <f>((D124*(1-'5.Closing Stock &amp; W Capital'!$D$16))+(C124*'5.Closing Stock &amp; W Capital'!$D$16))*$C182*F$171</f>
        <v>0</v>
      </c>
      <c r="G182" s="269">
        <f>((E124*(1-'5.Closing Stock &amp; W Capital'!$D$16))+(D124*'5.Closing Stock &amp; W Capital'!$D$16))*$C182*G$171</f>
        <v>0</v>
      </c>
      <c r="H182" s="269">
        <f>((F124*(1-'5.Closing Stock &amp; W Capital'!$D$16))+(E124*'5.Closing Stock &amp; W Capital'!$D$16))*$C182*H$171</f>
        <v>0</v>
      </c>
      <c r="I182" s="269">
        <f>((G124*(1-'5.Closing Stock &amp; W Capital'!$D$16))+(F124*'5.Closing Stock &amp; W Capital'!$D$16))*$C182*I$171</f>
        <v>0</v>
      </c>
      <c r="J182" s="269">
        <f>((H124*(1-'5.Closing Stock &amp; W Capital'!$D$16))+(G124*'5.Closing Stock &amp; W Capital'!$D$16))*$C182*J$171</f>
        <v>0</v>
      </c>
      <c r="K182" s="73"/>
      <c r="L182" s="73"/>
    </row>
    <row r="183" spans="1:12" ht="15.75" customHeight="1">
      <c r="A183" s="269" t="str">
        <f t="shared" si="91"/>
        <v>Bajra</v>
      </c>
      <c r="B183" s="78" t="s">
        <v>571</v>
      </c>
      <c r="C183" s="272">
        <v>0</v>
      </c>
      <c r="D183" s="269">
        <f>(B125*(1-'5.Closing Stock &amp; W Capital'!$D$16))*$C183*D$171</f>
        <v>0</v>
      </c>
      <c r="E183" s="269">
        <f>((C125*(1-'5.Closing Stock &amp; W Capital'!$D$16))+(B125*'5.Closing Stock &amp; W Capital'!$D$16))*$C183*E$171</f>
        <v>0</v>
      </c>
      <c r="F183" s="269">
        <f>((D125*(1-'5.Closing Stock &amp; W Capital'!$D$16))+(C125*'5.Closing Stock &amp; W Capital'!$D$16))*$C183*F$171</f>
        <v>0</v>
      </c>
      <c r="G183" s="269">
        <f>((E125*(1-'5.Closing Stock &amp; W Capital'!$D$16))+(D125*'5.Closing Stock &amp; W Capital'!$D$16))*$C183*G$171</f>
        <v>0</v>
      </c>
      <c r="H183" s="269">
        <f>((F125*(1-'5.Closing Stock &amp; W Capital'!$D$16))+(E125*'5.Closing Stock &amp; W Capital'!$D$16))*$C183*H$171</f>
        <v>0</v>
      </c>
      <c r="I183" s="269">
        <f>((G125*(1-'5.Closing Stock &amp; W Capital'!$D$16))+(F125*'5.Closing Stock &amp; W Capital'!$D$16))*$C183*I$171</f>
        <v>0</v>
      </c>
      <c r="J183" s="269">
        <f>((H125*(1-'5.Closing Stock &amp; W Capital'!$D$16))+(G125*'5.Closing Stock &amp; W Capital'!$D$16))*$C183*J$171</f>
        <v>0</v>
      </c>
      <c r="K183" s="73"/>
      <c r="L183" s="73"/>
    </row>
    <row r="184" spans="1:12" ht="15.75" customHeight="1">
      <c r="A184" s="269" t="str">
        <f t="shared" si="91"/>
        <v>Jawar</v>
      </c>
      <c r="B184" s="78" t="s">
        <v>571</v>
      </c>
      <c r="C184" s="272"/>
      <c r="D184" s="269">
        <f>(B126*(1-'5.Closing Stock &amp; W Capital'!$D$16))*$C184*D$171</f>
        <v>0</v>
      </c>
      <c r="E184" s="269">
        <f>((C126*(1-'5.Closing Stock &amp; W Capital'!$D$16))+(B126*'5.Closing Stock &amp; W Capital'!$D$16))*$C184*E$171</f>
        <v>0</v>
      </c>
      <c r="F184" s="269">
        <f>((D126*(1-'5.Closing Stock &amp; W Capital'!$D$16))+(C126*'5.Closing Stock &amp; W Capital'!$D$16))*$C184*F$171</f>
        <v>0</v>
      </c>
      <c r="G184" s="269">
        <f>((E126*(1-'5.Closing Stock &amp; W Capital'!$D$16))+(D126*'5.Closing Stock &amp; W Capital'!$D$16))*$C184*G$171</f>
        <v>0</v>
      </c>
      <c r="H184" s="269">
        <f>((F126*(1-'5.Closing Stock &amp; W Capital'!$D$16))+(E126*'5.Closing Stock &amp; W Capital'!$D$16))*$C184*H$171</f>
        <v>0</v>
      </c>
      <c r="I184" s="269">
        <f>((G126*(1-'5.Closing Stock &amp; W Capital'!$D$16))+(F126*'5.Closing Stock &amp; W Capital'!$D$16))*$C184*I$171</f>
        <v>0</v>
      </c>
      <c r="J184" s="269">
        <f>((H126*(1-'5.Closing Stock &amp; W Capital'!$D$16))+(G126*'5.Closing Stock &amp; W Capital'!$D$16))*$C184*J$171</f>
        <v>0</v>
      </c>
      <c r="K184" s="73"/>
      <c r="L184" s="73"/>
    </row>
    <row r="185" spans="1:12" ht="15.75" customHeight="1">
      <c r="A185" s="269" t="str">
        <f t="shared" si="91"/>
        <v>Sunflower</v>
      </c>
      <c r="B185" s="78" t="s">
        <v>571</v>
      </c>
      <c r="C185" s="272"/>
      <c r="D185" s="269">
        <f>(B127*(1-'5.Closing Stock &amp; W Capital'!$D$16))*$C185*D$171</f>
        <v>0</v>
      </c>
      <c r="E185" s="269">
        <f>((C127*(1-'5.Closing Stock &amp; W Capital'!$D$16))+(B127*'5.Closing Stock &amp; W Capital'!$D$16))*$C185*E$171</f>
        <v>0</v>
      </c>
      <c r="F185" s="269">
        <f>((D127*(1-'5.Closing Stock &amp; W Capital'!$D$16))+(C127*'5.Closing Stock &amp; W Capital'!$D$16))*$C185*F$171</f>
        <v>0</v>
      </c>
      <c r="G185" s="269">
        <f>((E127*(1-'5.Closing Stock &amp; W Capital'!$D$16))+(D127*'5.Closing Stock &amp; W Capital'!$D$16))*$C185*G$171</f>
        <v>0</v>
      </c>
      <c r="H185" s="269">
        <f>((F127*(1-'5.Closing Stock &amp; W Capital'!$D$16))+(E127*'5.Closing Stock &amp; W Capital'!$D$16))*$C185*H$171</f>
        <v>0</v>
      </c>
      <c r="I185" s="269">
        <f>((G127*(1-'5.Closing Stock &amp; W Capital'!$D$16))+(F127*'5.Closing Stock &amp; W Capital'!$D$16))*$C185*I$171</f>
        <v>0</v>
      </c>
      <c r="J185" s="269">
        <f>((H127*(1-'5.Closing Stock &amp; W Capital'!$D$16))+(G127*'5.Closing Stock &amp; W Capital'!$D$16))*$C185*J$171</f>
        <v>0</v>
      </c>
      <c r="K185" s="73"/>
      <c r="L185" s="73"/>
    </row>
    <row r="186" spans="1:12" ht="15.75" customHeight="1">
      <c r="A186" s="269" t="str">
        <f t="shared" si="91"/>
        <v>Wheat</v>
      </c>
      <c r="B186" s="78" t="s">
        <v>571</v>
      </c>
      <c r="C186" s="272">
        <v>0</v>
      </c>
      <c r="D186" s="269">
        <f>(B128*(1-'5.Closing Stock &amp; W Capital'!$D$16))*$C186*D$171</f>
        <v>0</v>
      </c>
      <c r="E186" s="269">
        <f>((C128*(1-'5.Closing Stock &amp; W Capital'!$D$16))+(B128*'5.Closing Stock &amp; W Capital'!$D$16))*$C186*E$171</f>
        <v>0</v>
      </c>
      <c r="F186" s="269">
        <f>((D128*(1-'5.Closing Stock &amp; W Capital'!$D$16))+(C128*'5.Closing Stock &amp; W Capital'!$D$16))*$C186*F$171</f>
        <v>0</v>
      </c>
      <c r="G186" s="269">
        <f>((E128*(1-'5.Closing Stock &amp; W Capital'!$D$16))+(D128*'5.Closing Stock &amp; W Capital'!$D$16))*$C186*G$171</f>
        <v>0</v>
      </c>
      <c r="H186" s="269">
        <f>((F128*(1-'5.Closing Stock &amp; W Capital'!$D$16))+(E128*'5.Closing Stock &amp; W Capital'!$D$16))*$C186*H$171</f>
        <v>0</v>
      </c>
      <c r="I186" s="269">
        <f>((G128*(1-'5.Closing Stock &amp; W Capital'!$D$16))+(F128*'5.Closing Stock &amp; W Capital'!$D$16))*$C186*I$171</f>
        <v>0</v>
      </c>
      <c r="J186" s="269">
        <f>((H128*(1-'5.Closing Stock &amp; W Capital'!$D$16))+(G128*'5.Closing Stock &amp; W Capital'!$D$16))*$C186*J$171</f>
        <v>0</v>
      </c>
      <c r="K186" s="73"/>
      <c r="L186" s="73"/>
    </row>
    <row r="187" spans="1:12" ht="15.75" customHeight="1">
      <c r="A187" s="269" t="str">
        <f t="shared" si="91"/>
        <v>Bengal Gram/Channa</v>
      </c>
      <c r="B187" s="78" t="s">
        <v>571</v>
      </c>
      <c r="C187" s="272">
        <v>0</v>
      </c>
      <c r="D187" s="269">
        <f>(B129*(1-'5.Closing Stock &amp; W Capital'!$D$16))*$C187*D$171</f>
        <v>0</v>
      </c>
      <c r="E187" s="269">
        <f>((C129*(1-'5.Closing Stock &amp; W Capital'!$D$16))+(B129*'5.Closing Stock &amp; W Capital'!$D$16))*$C187*E$171</f>
        <v>0</v>
      </c>
      <c r="F187" s="269">
        <f>((D129*(1-'5.Closing Stock &amp; W Capital'!$D$16))+(C129*'5.Closing Stock &amp; W Capital'!$D$16))*$C187*F$171</f>
        <v>0</v>
      </c>
      <c r="G187" s="269">
        <f>((E129*(1-'5.Closing Stock &amp; W Capital'!$D$16))+(D129*'5.Closing Stock &amp; W Capital'!$D$16))*$C187*G$171</f>
        <v>0</v>
      </c>
      <c r="H187" s="269">
        <f>((F129*(1-'5.Closing Stock &amp; W Capital'!$D$16))+(E129*'5.Closing Stock &amp; W Capital'!$D$16))*$C187*H$171</f>
        <v>0</v>
      </c>
      <c r="I187" s="269">
        <f>((G129*(1-'5.Closing Stock &amp; W Capital'!$D$16))+(F129*'5.Closing Stock &amp; W Capital'!$D$16))*$C187*I$171</f>
        <v>0</v>
      </c>
      <c r="J187" s="269">
        <f>((H129*(1-'5.Closing Stock &amp; W Capital'!$D$16))+(G129*'5.Closing Stock &amp; W Capital'!$D$16))*$C187*J$171</f>
        <v>0</v>
      </c>
      <c r="K187" s="73"/>
      <c r="L187" s="73"/>
    </row>
    <row r="188" spans="1:12" ht="15.75" customHeight="1">
      <c r="A188" s="269" t="str">
        <f t="shared" si="91"/>
        <v>Jawar</v>
      </c>
      <c r="B188" s="78" t="s">
        <v>571</v>
      </c>
      <c r="C188" s="272"/>
      <c r="D188" s="269">
        <f>(B130*(1-'5.Closing Stock &amp; W Capital'!$D$16))*$C188*D$171</f>
        <v>0</v>
      </c>
      <c r="E188" s="269">
        <f>((C130*(1-'5.Closing Stock &amp; W Capital'!$D$16))+(B130*'5.Closing Stock &amp; W Capital'!$D$16))*$C188*E$171</f>
        <v>0</v>
      </c>
      <c r="F188" s="269">
        <f>((D130*(1-'5.Closing Stock &amp; W Capital'!$D$16))+(C130*'5.Closing Stock &amp; W Capital'!$D$16))*$C188*F$171</f>
        <v>0</v>
      </c>
      <c r="G188" s="269">
        <f>((E130*(1-'5.Closing Stock &amp; W Capital'!$D$16))+(D130*'5.Closing Stock &amp; W Capital'!$D$16))*$C188*G$171</f>
        <v>0</v>
      </c>
      <c r="H188" s="269">
        <f>((F130*(1-'5.Closing Stock &amp; W Capital'!$D$16))+(E130*'5.Closing Stock &amp; W Capital'!$D$16))*$C188*H$171</f>
        <v>0</v>
      </c>
      <c r="I188" s="269">
        <f>((G130*(1-'5.Closing Stock &amp; W Capital'!$D$16))+(F130*'5.Closing Stock &amp; W Capital'!$D$16))*$C188*I$171</f>
        <v>0</v>
      </c>
      <c r="J188" s="269">
        <f>((H130*(1-'5.Closing Stock &amp; W Capital'!$D$16))+(G130*'5.Closing Stock &amp; W Capital'!$D$16))*$C188*J$171</f>
        <v>0</v>
      </c>
      <c r="K188" s="73"/>
      <c r="L188" s="73"/>
    </row>
    <row r="189" spans="1:12" ht="15.75" customHeight="1">
      <c r="A189" s="269" t="str">
        <f t="shared" si="91"/>
        <v>Maize</v>
      </c>
      <c r="B189" s="78" t="s">
        <v>571</v>
      </c>
      <c r="C189" s="272"/>
      <c r="D189" s="269">
        <f>(B131*(1-'5.Closing Stock &amp; W Capital'!$D$16))*$C189*D$171</f>
        <v>0</v>
      </c>
      <c r="E189" s="269">
        <f>((C131*(1-'5.Closing Stock &amp; W Capital'!$D$16))+(B131*'5.Closing Stock &amp; W Capital'!$D$16))*$C189*E$171</f>
        <v>0</v>
      </c>
      <c r="F189" s="269">
        <f>((D131*(1-'5.Closing Stock &amp; W Capital'!$D$16))+(C131*'5.Closing Stock &amp; W Capital'!$D$16))*$C189*F$171</f>
        <v>0</v>
      </c>
      <c r="G189" s="269">
        <f>((E131*(1-'5.Closing Stock &amp; W Capital'!$D$16))+(D131*'5.Closing Stock &amp; W Capital'!$D$16))*$C189*G$171</f>
        <v>0</v>
      </c>
      <c r="H189" s="269">
        <f>((F131*(1-'5.Closing Stock &amp; W Capital'!$D$16))+(E131*'5.Closing Stock &amp; W Capital'!$D$16))*$C189*H$171</f>
        <v>0</v>
      </c>
      <c r="I189" s="269">
        <f>((G131*(1-'5.Closing Stock &amp; W Capital'!$D$16))+(F131*'5.Closing Stock &amp; W Capital'!$D$16))*$C189*I$171</f>
        <v>0</v>
      </c>
      <c r="J189" s="269">
        <f>((H131*(1-'5.Closing Stock &amp; W Capital'!$D$16))+(G131*'5.Closing Stock &amp; W Capital'!$D$16))*$C189*J$171</f>
        <v>0</v>
      </c>
      <c r="K189" s="73"/>
      <c r="L189" s="73"/>
    </row>
    <row r="190" spans="1:12" ht="15.75" customHeight="1">
      <c r="A190" s="269" t="str">
        <f t="shared" si="91"/>
        <v>Safflower</v>
      </c>
      <c r="B190" s="78" t="s">
        <v>571</v>
      </c>
      <c r="C190" s="272"/>
      <c r="D190" s="269">
        <f>(B132*(1-'5.Closing Stock &amp; W Capital'!$D$16))*$C190*D$171</f>
        <v>0</v>
      </c>
      <c r="E190" s="269">
        <f>((C132*(1-'5.Closing Stock &amp; W Capital'!$D$16))+(B132*'5.Closing Stock &amp; W Capital'!$D$16))*$C190*E$171</f>
        <v>0</v>
      </c>
      <c r="F190" s="269">
        <f>((D132*(1-'5.Closing Stock &amp; W Capital'!$D$16))+(C132*'5.Closing Stock &amp; W Capital'!$D$16))*$C190*F$171</f>
        <v>0</v>
      </c>
      <c r="G190" s="269">
        <f>((E132*(1-'5.Closing Stock &amp; W Capital'!$D$16))+(D132*'5.Closing Stock &amp; W Capital'!$D$16))*$C190*G$171</f>
        <v>0</v>
      </c>
      <c r="H190" s="269">
        <f>((F132*(1-'5.Closing Stock &amp; W Capital'!$D$16))+(E132*'5.Closing Stock &amp; W Capital'!$D$16))*$C190*H$171</f>
        <v>0</v>
      </c>
      <c r="I190" s="269">
        <f>((G132*(1-'5.Closing Stock &amp; W Capital'!$D$16))+(F132*'5.Closing Stock &amp; W Capital'!$D$16))*$C190*I$171</f>
        <v>0</v>
      </c>
      <c r="J190" s="269">
        <f>((H132*(1-'5.Closing Stock &amp; W Capital'!$D$16))+(G132*'5.Closing Stock &amp; W Capital'!$D$16))*$C190*J$171</f>
        <v>0</v>
      </c>
      <c r="K190" s="73"/>
      <c r="L190" s="73"/>
    </row>
    <row r="191" spans="1:12" ht="15.75" customHeight="1">
      <c r="A191" s="269">
        <f t="shared" si="91"/>
        <v>0</v>
      </c>
      <c r="B191" s="78" t="s">
        <v>571</v>
      </c>
      <c r="C191" s="272"/>
      <c r="D191" s="269">
        <f>(B133*(1-'5.Closing Stock &amp; W Capital'!$D$16))*$C191*D$171</f>
        <v>0</v>
      </c>
      <c r="E191" s="269">
        <f>((C133*(1-'5.Closing Stock &amp; W Capital'!$D$16))+(B133*'5.Closing Stock &amp; W Capital'!$D$16))*$C191*E$171</f>
        <v>0</v>
      </c>
      <c r="F191" s="269">
        <f>((D133*(1-'5.Closing Stock &amp; W Capital'!$D$16))+(C133*'5.Closing Stock &amp; W Capital'!$D$16))*$C191*F$171</f>
        <v>0</v>
      </c>
      <c r="G191" s="269">
        <f>((E133*(1-'5.Closing Stock &amp; W Capital'!$D$16))+(D133*'5.Closing Stock &amp; W Capital'!$D$16))*$C191*G$171</f>
        <v>0</v>
      </c>
      <c r="H191" s="269">
        <f>((F133*(1-'5.Closing Stock &amp; W Capital'!$D$16))+(E133*'5.Closing Stock &amp; W Capital'!$D$16))*$C191*H$171</f>
        <v>0</v>
      </c>
      <c r="I191" s="269">
        <f>((G133*(1-'5.Closing Stock &amp; W Capital'!$D$16))+(F133*'5.Closing Stock &amp; W Capital'!$D$16))*$C191*I$171</f>
        <v>0</v>
      </c>
      <c r="J191" s="269">
        <f>((H133*(1-'5.Closing Stock &amp; W Capital'!$D$16))+(G133*'5.Closing Stock &amp; W Capital'!$D$16))*$C191*J$171</f>
        <v>0</v>
      </c>
      <c r="K191" s="73"/>
      <c r="L191" s="73"/>
    </row>
    <row r="192" spans="1:12" ht="15.75" customHeight="1">
      <c r="A192" s="269">
        <f t="shared" si="91"/>
        <v>0</v>
      </c>
      <c r="B192" s="78" t="s">
        <v>571</v>
      </c>
      <c r="C192" s="272"/>
      <c r="D192" s="269">
        <f>(B134*(1-'5.Closing Stock &amp; W Capital'!$D$16))*$C192*D$171</f>
        <v>0</v>
      </c>
      <c r="E192" s="269">
        <f>((C134*(1-'5.Closing Stock &amp; W Capital'!$D$16))+(B134*'5.Closing Stock &amp; W Capital'!$D$16))*$C192*E$171</f>
        <v>0</v>
      </c>
      <c r="F192" s="269">
        <f>((D134*(1-'5.Closing Stock &amp; W Capital'!$D$16))+(C134*'5.Closing Stock &amp; W Capital'!$D$16))*$C192*F$171</f>
        <v>0</v>
      </c>
      <c r="G192" s="269">
        <f>((E134*(1-'5.Closing Stock &amp; W Capital'!$D$16))+(D134*'5.Closing Stock &amp; W Capital'!$D$16))*$C192*G$171</f>
        <v>0</v>
      </c>
      <c r="H192" s="269">
        <f>((F134*(1-'5.Closing Stock &amp; W Capital'!$D$16))+(E134*'5.Closing Stock &amp; W Capital'!$D$16))*$C192*H$171</f>
        <v>0</v>
      </c>
      <c r="I192" s="269">
        <f>((G134*(1-'5.Closing Stock &amp; W Capital'!$D$16))+(F134*'5.Closing Stock &amp; W Capital'!$D$16))*$C192*I$171</f>
        <v>0</v>
      </c>
      <c r="J192" s="269">
        <f>((H134*(1-'5.Closing Stock &amp; W Capital'!$D$16))+(G134*'5.Closing Stock &amp; W Capital'!$D$16))*$C192*J$171</f>
        <v>0</v>
      </c>
      <c r="K192" s="73"/>
      <c r="L192" s="73"/>
    </row>
    <row r="193" spans="1:12" ht="15.75" customHeight="1">
      <c r="A193" s="269">
        <f t="shared" si="91"/>
        <v>0</v>
      </c>
      <c r="B193" s="78" t="s">
        <v>571</v>
      </c>
      <c r="C193" s="272"/>
      <c r="D193" s="269">
        <f>(B135*(1-'5.Closing Stock &amp; W Capital'!$D$16))*$C193*D$171</f>
        <v>0</v>
      </c>
      <c r="E193" s="269">
        <f>((C135*(1-'5.Closing Stock &amp; W Capital'!$D$16))+(B135*'5.Closing Stock &amp; W Capital'!$D$16))*$C193*E$171</f>
        <v>0</v>
      </c>
      <c r="F193" s="269">
        <f>((D135*(1-'5.Closing Stock &amp; W Capital'!$D$16))+(C135*'5.Closing Stock &amp; W Capital'!$D$16))*$C193*F$171</f>
        <v>0</v>
      </c>
      <c r="G193" s="269">
        <f>((E135*(1-'5.Closing Stock &amp; W Capital'!$D$16))+(D135*'5.Closing Stock &amp; W Capital'!$D$16))*$C193*G$171</f>
        <v>0</v>
      </c>
      <c r="H193" s="269">
        <f>((F135*(1-'5.Closing Stock &amp; W Capital'!$D$16))+(E135*'5.Closing Stock &amp; W Capital'!$D$16))*$C193*H$171</f>
        <v>0</v>
      </c>
      <c r="I193" s="269">
        <f>((G135*(1-'5.Closing Stock &amp; W Capital'!$D$16))+(F135*'5.Closing Stock &amp; W Capital'!$D$16))*$C193*I$171</f>
        <v>0</v>
      </c>
      <c r="J193" s="269">
        <f>((H135*(1-'5.Closing Stock &amp; W Capital'!$D$16))+(G135*'5.Closing Stock &amp; W Capital'!$D$16))*$C193*J$171</f>
        <v>0</v>
      </c>
      <c r="K193" s="73"/>
      <c r="L193" s="73"/>
    </row>
    <row r="194" spans="1:12" ht="15.75" customHeight="1">
      <c r="A194" s="269" t="str">
        <f t="shared" si="91"/>
        <v>Groundnut</v>
      </c>
      <c r="B194" s="78" t="s">
        <v>571</v>
      </c>
      <c r="C194" s="272"/>
      <c r="D194" s="269">
        <f>(B136*(1-'5.Closing Stock &amp; W Capital'!$D$16))*$C194*D$171</f>
        <v>0</v>
      </c>
      <c r="E194" s="269">
        <f>((C136*(1-'5.Closing Stock &amp; W Capital'!$D$16))+(B136*'5.Closing Stock &amp; W Capital'!$D$16))*$C194*E$171</f>
        <v>0</v>
      </c>
      <c r="F194" s="269">
        <f>((D136*(1-'5.Closing Stock &amp; W Capital'!$D$16))+(C136*'5.Closing Stock &amp; W Capital'!$D$16))*$C194*F$171</f>
        <v>0</v>
      </c>
      <c r="G194" s="269">
        <f>((E136*(1-'5.Closing Stock &amp; W Capital'!$D$16))+(D136*'5.Closing Stock &amp; W Capital'!$D$16))*$C194*G$171</f>
        <v>0</v>
      </c>
      <c r="H194" s="269">
        <f>((F136*(1-'5.Closing Stock &amp; W Capital'!$D$16))+(E136*'5.Closing Stock &amp; W Capital'!$D$16))*$C194*H$171</f>
        <v>0</v>
      </c>
      <c r="I194" s="269">
        <f>((G136*(1-'5.Closing Stock &amp; W Capital'!$D$16))+(F136*'5.Closing Stock &amp; W Capital'!$D$16))*$C194*I$171</f>
        <v>0</v>
      </c>
      <c r="J194" s="269">
        <f>((H136*(1-'5.Closing Stock &amp; W Capital'!$D$16))+(G136*'5.Closing Stock &amp; W Capital'!$D$16))*$C194*J$171</f>
        <v>0</v>
      </c>
      <c r="K194" s="73"/>
      <c r="L194" s="73"/>
    </row>
    <row r="195" spans="1:12" ht="15.75" customHeight="1">
      <c r="A195" s="269">
        <f t="shared" si="91"/>
        <v>0</v>
      </c>
      <c r="B195" s="78" t="s">
        <v>571</v>
      </c>
      <c r="C195" s="272"/>
      <c r="D195" s="269">
        <f>(B137*(1-'5.Closing Stock &amp; W Capital'!$D$16))*$C195*D$171</f>
        <v>0</v>
      </c>
      <c r="E195" s="269">
        <f>((C137*(1-'5.Closing Stock &amp; W Capital'!$D$16))+(B137*'5.Closing Stock &amp; W Capital'!$D$16))*$C195*E$171</f>
        <v>0</v>
      </c>
      <c r="F195" s="269">
        <f>((D137*(1-'5.Closing Stock &amp; W Capital'!$D$16))+(C137*'5.Closing Stock &amp; W Capital'!$D$16))*$C195*F$171</f>
        <v>0</v>
      </c>
      <c r="G195" s="269">
        <f>((E137*(1-'5.Closing Stock &amp; W Capital'!$D$16))+(D137*'5.Closing Stock &amp; W Capital'!$D$16))*$C195*G$171</f>
        <v>0</v>
      </c>
      <c r="H195" s="269">
        <f>((F137*(1-'5.Closing Stock &amp; W Capital'!$D$16))+(E137*'5.Closing Stock &amp; W Capital'!$D$16))*$C195*H$171</f>
        <v>0</v>
      </c>
      <c r="I195" s="269">
        <f>((G137*(1-'5.Closing Stock &amp; W Capital'!$D$16))+(F137*'5.Closing Stock &amp; W Capital'!$D$16))*$C195*I$171</f>
        <v>0</v>
      </c>
      <c r="J195" s="269">
        <f>((H137*(1-'5.Closing Stock &amp; W Capital'!$D$16))+(G137*'5.Closing Stock &amp; W Capital'!$D$16))*$C195*J$171</f>
        <v>0</v>
      </c>
      <c r="K195" s="73"/>
      <c r="L195" s="73"/>
    </row>
    <row r="196" spans="1:12" ht="15.75" customHeight="1">
      <c r="A196" s="269">
        <f t="shared" si="91"/>
        <v>0</v>
      </c>
      <c r="B196" s="78" t="s">
        <v>571</v>
      </c>
      <c r="C196" s="272"/>
      <c r="D196" s="269">
        <f>(B138*(1-'5.Closing Stock &amp; W Capital'!$D$16))*$C196*D$171</f>
        <v>0</v>
      </c>
      <c r="E196" s="269">
        <f>((C138*(1-'5.Closing Stock &amp; W Capital'!$D$16))+(B138*'5.Closing Stock &amp; W Capital'!$D$16))*$C196*E$171</f>
        <v>0</v>
      </c>
      <c r="F196" s="269">
        <f>((D138*(1-'5.Closing Stock &amp; W Capital'!$D$16))+(C138*'5.Closing Stock &amp; W Capital'!$D$16))*$C196*F$171</f>
        <v>0</v>
      </c>
      <c r="G196" s="269">
        <f>((E138*(1-'5.Closing Stock &amp; W Capital'!$D$16))+(D138*'5.Closing Stock &amp; W Capital'!$D$16))*$C196*G$171</f>
        <v>0</v>
      </c>
      <c r="H196" s="269">
        <f>((F138*(1-'5.Closing Stock &amp; W Capital'!$D$16))+(E138*'5.Closing Stock &amp; W Capital'!$D$16))*$C196*H$171</f>
        <v>0</v>
      </c>
      <c r="I196" s="269">
        <f>((G138*(1-'5.Closing Stock &amp; W Capital'!$D$16))+(F138*'5.Closing Stock &amp; W Capital'!$D$16))*$C196*I$171</f>
        <v>0</v>
      </c>
      <c r="J196" s="269">
        <f>((H138*(1-'5.Closing Stock &amp; W Capital'!$D$16))+(G138*'5.Closing Stock &amp; W Capital'!$D$16))*$C196*J$171</f>
        <v>0</v>
      </c>
      <c r="K196" s="73"/>
      <c r="L196" s="73"/>
    </row>
    <row r="197" spans="1:12" ht="15.75" customHeight="1">
      <c r="A197" s="269">
        <f t="shared" si="91"/>
        <v>0</v>
      </c>
      <c r="B197" s="78" t="s">
        <v>571</v>
      </c>
      <c r="C197" s="272"/>
      <c r="D197" s="269">
        <f>(B139*(1-'5.Closing Stock &amp; W Capital'!$D$16))*$C197*D$171</f>
        <v>0</v>
      </c>
      <c r="E197" s="269">
        <f>((C139*(1-'5.Closing Stock &amp; W Capital'!$D$16))+(B139*'5.Closing Stock &amp; W Capital'!$D$16))*$C197*E$171</f>
        <v>0</v>
      </c>
      <c r="F197" s="269">
        <f>((D139*(1-'5.Closing Stock &amp; W Capital'!$D$16))+(C139*'5.Closing Stock &amp; W Capital'!$D$16))*$C197*F$171</f>
        <v>0</v>
      </c>
      <c r="G197" s="269">
        <f>((E139*(1-'5.Closing Stock &amp; W Capital'!$D$16))+(D139*'5.Closing Stock &amp; W Capital'!$D$16))*$C197*G$171</f>
        <v>0</v>
      </c>
      <c r="H197" s="269">
        <f>((F139*(1-'5.Closing Stock &amp; W Capital'!$D$16))+(E139*'5.Closing Stock &amp; W Capital'!$D$16))*$C197*H$171</f>
        <v>0</v>
      </c>
      <c r="I197" s="269">
        <f>((G139*(1-'5.Closing Stock &amp; W Capital'!$D$16))+(F139*'5.Closing Stock &amp; W Capital'!$D$16))*$C197*I$171</f>
        <v>0</v>
      </c>
      <c r="J197" s="269">
        <f>((H139*(1-'5.Closing Stock &amp; W Capital'!$D$16))+(G139*'5.Closing Stock &amp; W Capital'!$D$16))*$C197*J$171</f>
        <v>0</v>
      </c>
      <c r="K197" s="73"/>
      <c r="L197" s="73"/>
    </row>
    <row r="198" spans="1:12" ht="15.75" customHeight="1">
      <c r="A198" s="78"/>
      <c r="B198" s="78" t="s">
        <v>571</v>
      </c>
      <c r="C198" s="272"/>
      <c r="D198" s="269">
        <f>(B140*(1-'5.Closing Stock &amp; W Capital'!$D$16))*$C198*D$171</f>
        <v>0</v>
      </c>
      <c r="E198" s="269">
        <f>((C140*(1-'5.Closing Stock &amp; W Capital'!$D$16))+(B140*'5.Closing Stock &amp; W Capital'!$D$16))*$C198*E$171</f>
        <v>0</v>
      </c>
      <c r="F198" s="269">
        <f>((D140*(1-'5.Closing Stock &amp; W Capital'!$D$16))+(C140*'5.Closing Stock &amp; W Capital'!$D$16))*$C198*F$171</f>
        <v>0</v>
      </c>
      <c r="G198" s="269">
        <f>((E140*(1-'5.Closing Stock &amp; W Capital'!$D$16))+(D140*'5.Closing Stock &amp; W Capital'!$D$16))*$C198*G$171</f>
        <v>0</v>
      </c>
      <c r="H198" s="269">
        <f>((F140*(1-'5.Closing Stock &amp; W Capital'!$D$16))+(E140*'5.Closing Stock &amp; W Capital'!$D$16))*$C198*H$171</f>
        <v>0</v>
      </c>
      <c r="I198" s="269">
        <f>((G140*(1-'5.Closing Stock &amp; W Capital'!$D$16))+(F140*'5.Closing Stock &amp; W Capital'!$D$16))*$C198*I$171</f>
        <v>0</v>
      </c>
      <c r="J198" s="269">
        <f>((H140*(1-'5.Closing Stock &amp; W Capital'!$D$16))+(G140*'5.Closing Stock &amp; W Capital'!$D$16))*$C198*J$171</f>
        <v>0</v>
      </c>
      <c r="K198" s="73"/>
      <c r="L198" s="73"/>
    </row>
    <row r="199" spans="1:12" ht="15.75" customHeight="1">
      <c r="A199" s="81" t="s">
        <v>572</v>
      </c>
      <c r="B199" s="78" t="s">
        <v>571</v>
      </c>
      <c r="C199" s="55">
        <v>0</v>
      </c>
      <c r="D199" s="269">
        <f t="shared" ref="D199:J199" si="92">B64*$C$199*D171</f>
        <v>0</v>
      </c>
      <c r="E199" s="269">
        <f t="shared" si="92"/>
        <v>0</v>
      </c>
      <c r="F199" s="269">
        <f t="shared" si="92"/>
        <v>0</v>
      </c>
      <c r="G199" s="269">
        <f t="shared" si="92"/>
        <v>0</v>
      </c>
      <c r="H199" s="269">
        <f t="shared" si="92"/>
        <v>0</v>
      </c>
      <c r="I199" s="269">
        <f t="shared" si="92"/>
        <v>0</v>
      </c>
      <c r="J199" s="269">
        <f t="shared" si="92"/>
        <v>0</v>
      </c>
      <c r="K199" s="73"/>
      <c r="L199" s="73"/>
    </row>
    <row r="200" spans="1:12" ht="15.75" customHeight="1">
      <c r="A200" s="81"/>
      <c r="B200" s="81"/>
      <c r="C200" s="81"/>
      <c r="D200" s="78"/>
      <c r="E200" s="78"/>
      <c r="F200" s="78"/>
      <c r="G200" s="78"/>
      <c r="H200" s="78"/>
      <c r="I200" s="78"/>
      <c r="J200" s="78"/>
      <c r="K200" s="73"/>
      <c r="L200" s="73"/>
    </row>
    <row r="201" spans="1:12" ht="15.75" customHeight="1">
      <c r="A201" s="265" t="str">
        <f t="shared" ref="A201:A226" si="93">A142</f>
        <v>Fruit  &amp; Vegetables Crop Production Details</v>
      </c>
      <c r="B201" s="81"/>
      <c r="C201" s="81"/>
      <c r="D201" s="78"/>
      <c r="E201" s="78"/>
      <c r="F201" s="78"/>
      <c r="G201" s="78"/>
      <c r="H201" s="78"/>
      <c r="I201" s="78"/>
      <c r="J201" s="78"/>
      <c r="K201" s="73"/>
      <c r="L201" s="73"/>
    </row>
    <row r="202" spans="1:12" ht="15.75" customHeight="1">
      <c r="A202" s="265" t="str">
        <f t="shared" si="93"/>
        <v>Onion</v>
      </c>
      <c r="B202" s="78" t="s">
        <v>571</v>
      </c>
      <c r="C202" s="273">
        <v>0</v>
      </c>
      <c r="D202" s="269">
        <f>(B143*(1-'5.Closing Stock &amp; W Capital'!$D$16))*$C202*D$171</f>
        <v>0</v>
      </c>
      <c r="E202" s="269">
        <f>((C143*(1-'5.Closing Stock &amp; W Capital'!$D$16))+(B143*'5.Closing Stock &amp; W Capital'!$D$16))*$C202*E$171</f>
        <v>0</v>
      </c>
      <c r="F202" s="269">
        <f>((D143*(1-'5.Closing Stock &amp; W Capital'!$D$16))+(C143*'5.Closing Stock &amp; W Capital'!$D$16))*$C202*F$171</f>
        <v>0</v>
      </c>
      <c r="G202" s="269">
        <f>((E143*(1-'5.Closing Stock &amp; W Capital'!$D$16))+(D143*'5.Closing Stock &amp; W Capital'!$D$16))*$C202*G$171</f>
        <v>0</v>
      </c>
      <c r="H202" s="269">
        <f>((F143*(1-'5.Closing Stock &amp; W Capital'!$D$16))+(E143*'5.Closing Stock &amp; W Capital'!$D$16))*$C202*H$171</f>
        <v>0</v>
      </c>
      <c r="I202" s="269">
        <f>((G143*(1-'5.Closing Stock &amp; W Capital'!$D$16))+(F143*'5.Closing Stock &amp; W Capital'!$D$16))*$C202*I$171</f>
        <v>0</v>
      </c>
      <c r="J202" s="269">
        <f>((H143*(1-'5.Closing Stock &amp; W Capital'!$D$16))+(G143*'5.Closing Stock &amp; W Capital'!$D$16))*$C202*J$171</f>
        <v>0</v>
      </c>
      <c r="K202" s="73"/>
      <c r="L202" s="73"/>
    </row>
    <row r="203" spans="1:12" ht="15.75" customHeight="1">
      <c r="A203" s="265" t="str">
        <f t="shared" si="93"/>
        <v>Tomato</v>
      </c>
      <c r="B203" s="78" t="s">
        <v>571</v>
      </c>
      <c r="C203" s="272">
        <v>0</v>
      </c>
      <c r="D203" s="269">
        <f>(B144*(1-'5.Closing Stock &amp; W Capital'!$D$16))*$C203*D$171</f>
        <v>0</v>
      </c>
      <c r="E203" s="269">
        <f>((C144*(1-'5.Closing Stock &amp; W Capital'!$D$16))+(B144*'5.Closing Stock &amp; W Capital'!$D$16))*$C203*E$171</f>
        <v>0</v>
      </c>
      <c r="F203" s="269">
        <f>((D144*(1-'5.Closing Stock &amp; W Capital'!$D$16))+(C144*'5.Closing Stock &amp; W Capital'!$D$16))*$C203*F$171</f>
        <v>0</v>
      </c>
      <c r="G203" s="269">
        <f>((E144*(1-'5.Closing Stock &amp; W Capital'!$D$16))+(D144*'5.Closing Stock &amp; W Capital'!$D$16))*$C203*G$171</f>
        <v>0</v>
      </c>
      <c r="H203" s="269">
        <f>((F144*(1-'5.Closing Stock &amp; W Capital'!$D$16))+(E144*'5.Closing Stock &amp; W Capital'!$D$16))*$C203*H$171</f>
        <v>0</v>
      </c>
      <c r="I203" s="269">
        <f>((G144*(1-'5.Closing Stock &amp; W Capital'!$D$16))+(F144*'5.Closing Stock &amp; W Capital'!$D$16))*$C203*I$171</f>
        <v>0</v>
      </c>
      <c r="J203" s="269">
        <f>((H144*(1-'5.Closing Stock &amp; W Capital'!$D$16))+(G144*'5.Closing Stock &amp; W Capital'!$D$16))*$C203*J$171</f>
        <v>0</v>
      </c>
      <c r="K203" s="73"/>
      <c r="L203" s="73"/>
    </row>
    <row r="204" spans="1:12" ht="15.75" customHeight="1">
      <c r="A204" s="265" t="str">
        <f t="shared" si="93"/>
        <v>Okra</v>
      </c>
      <c r="B204" s="78" t="s">
        <v>571</v>
      </c>
      <c r="C204" s="272">
        <v>0</v>
      </c>
      <c r="D204" s="269">
        <f>(B145*(1-'5.Closing Stock &amp; W Capital'!$D$16))*$C204*D$171</f>
        <v>0</v>
      </c>
      <c r="E204" s="269">
        <f>((C145*(1-'5.Closing Stock &amp; W Capital'!$D$16))+(B145*'5.Closing Stock &amp; W Capital'!$D$16))*$C204*E$171</f>
        <v>0</v>
      </c>
      <c r="F204" s="269">
        <f>((D145*(1-'5.Closing Stock &amp; W Capital'!$D$16))+(C145*'5.Closing Stock &amp; W Capital'!$D$16))*$C204*F$171</f>
        <v>0</v>
      </c>
      <c r="G204" s="269">
        <f>((E145*(1-'5.Closing Stock &amp; W Capital'!$D$16))+(D145*'5.Closing Stock &amp; W Capital'!$D$16))*$C204*G$171</f>
        <v>0</v>
      </c>
      <c r="H204" s="269">
        <f>((F145*(1-'5.Closing Stock &amp; W Capital'!$D$16))+(E145*'5.Closing Stock &amp; W Capital'!$D$16))*$C204*H$171</f>
        <v>0</v>
      </c>
      <c r="I204" s="269">
        <f>((G145*(1-'5.Closing Stock &amp; W Capital'!$D$16))+(F145*'5.Closing Stock &amp; W Capital'!$D$16))*$C204*I$171</f>
        <v>0</v>
      </c>
      <c r="J204" s="269">
        <f>((H145*(1-'5.Closing Stock &amp; W Capital'!$D$16))+(G145*'5.Closing Stock &amp; W Capital'!$D$16))*$C204*J$171</f>
        <v>0</v>
      </c>
      <c r="K204" s="73"/>
      <c r="L204" s="73"/>
    </row>
    <row r="205" spans="1:12" ht="15.75" customHeight="1">
      <c r="A205" s="265" t="str">
        <f t="shared" si="93"/>
        <v>Chilli</v>
      </c>
      <c r="B205" s="78" t="s">
        <v>571</v>
      </c>
      <c r="C205" s="272">
        <v>0</v>
      </c>
      <c r="D205" s="269">
        <f>(B146*(1-'5.Closing Stock &amp; W Capital'!$D$16))*$C205*D$171</f>
        <v>0</v>
      </c>
      <c r="E205" s="269">
        <f>((C146*(1-'5.Closing Stock &amp; W Capital'!$D$16))+(B146*'5.Closing Stock &amp; W Capital'!$D$16))*$C205*E$171</f>
        <v>0</v>
      </c>
      <c r="F205" s="269">
        <f>((D146*(1-'5.Closing Stock &amp; W Capital'!$D$16))+(C146*'5.Closing Stock &amp; W Capital'!$D$16))*$C205*F$171</f>
        <v>0</v>
      </c>
      <c r="G205" s="269">
        <f>((E146*(1-'5.Closing Stock &amp; W Capital'!$D$16))+(D146*'5.Closing Stock &amp; W Capital'!$D$16))*$C205*G$171</f>
        <v>0</v>
      </c>
      <c r="H205" s="269">
        <f>((F146*(1-'5.Closing Stock &amp; W Capital'!$D$16))+(E146*'5.Closing Stock &amp; W Capital'!$D$16))*$C205*H$171</f>
        <v>0</v>
      </c>
      <c r="I205" s="269">
        <f>((G146*(1-'5.Closing Stock &amp; W Capital'!$D$16))+(F146*'5.Closing Stock &amp; W Capital'!$D$16))*$C205*I$171</f>
        <v>0</v>
      </c>
      <c r="J205" s="269">
        <f>((H146*(1-'5.Closing Stock &amp; W Capital'!$D$16))+(G146*'5.Closing Stock &amp; W Capital'!$D$16))*$C205*J$171</f>
        <v>0</v>
      </c>
      <c r="K205" s="73"/>
      <c r="L205" s="73"/>
    </row>
    <row r="206" spans="1:12" ht="15.75" customHeight="1">
      <c r="A206" s="265" t="str">
        <f t="shared" si="93"/>
        <v>Potato</v>
      </c>
      <c r="B206" s="78" t="s">
        <v>571</v>
      </c>
      <c r="C206" s="272">
        <v>0</v>
      </c>
      <c r="D206" s="269">
        <f>(B147*(1-'5.Closing Stock &amp; W Capital'!$D$16))*$C206*D$171</f>
        <v>0</v>
      </c>
      <c r="E206" s="269">
        <f>((C147*(1-'5.Closing Stock &amp; W Capital'!$D$16))+(B147*'5.Closing Stock &amp; W Capital'!$D$16))*$C206*E$171</f>
        <v>0</v>
      </c>
      <c r="F206" s="269">
        <f>((D147*(1-'5.Closing Stock &amp; W Capital'!$D$16))+(C147*'5.Closing Stock &amp; W Capital'!$D$16))*$C206*F$171</f>
        <v>0</v>
      </c>
      <c r="G206" s="269">
        <f>((E147*(1-'5.Closing Stock &amp; W Capital'!$D$16))+(D147*'5.Closing Stock &amp; W Capital'!$D$16))*$C206*G$171</f>
        <v>0</v>
      </c>
      <c r="H206" s="269">
        <f>((F147*(1-'5.Closing Stock &amp; W Capital'!$D$16))+(E147*'5.Closing Stock &amp; W Capital'!$D$16))*$C206*H$171</f>
        <v>0</v>
      </c>
      <c r="I206" s="269">
        <f>((G147*(1-'5.Closing Stock &amp; W Capital'!$D$16))+(F147*'5.Closing Stock &amp; W Capital'!$D$16))*$C206*I$171</f>
        <v>0</v>
      </c>
      <c r="J206" s="269">
        <f>((H147*(1-'5.Closing Stock &amp; W Capital'!$D$16))+(G147*'5.Closing Stock &amp; W Capital'!$D$16))*$C206*J$171</f>
        <v>0</v>
      </c>
      <c r="K206" s="73"/>
      <c r="L206" s="73"/>
    </row>
    <row r="207" spans="1:12" ht="15.75" customHeight="1">
      <c r="A207" s="265">
        <f t="shared" si="93"/>
        <v>0</v>
      </c>
      <c r="B207" s="78" t="s">
        <v>571</v>
      </c>
      <c r="C207" s="55"/>
      <c r="D207" s="269">
        <f>(B148*(1-'5.Closing Stock &amp; W Capital'!$D$16))*$C207*D$171</f>
        <v>0</v>
      </c>
      <c r="E207" s="269">
        <f>((C148*(1-'5.Closing Stock &amp; W Capital'!$D$16))+(B148*'5.Closing Stock &amp; W Capital'!$D$16))*$C207*E$171</f>
        <v>0</v>
      </c>
      <c r="F207" s="269">
        <f>((D148*(1-'5.Closing Stock &amp; W Capital'!$D$16))+(C148*'5.Closing Stock &amp; W Capital'!$D$16))*$C207*F$171</f>
        <v>0</v>
      </c>
      <c r="G207" s="269">
        <f>((E148*(1-'5.Closing Stock &amp; W Capital'!$D$16))+(D148*'5.Closing Stock &amp; W Capital'!$D$16))*$C207*G$171</f>
        <v>0</v>
      </c>
      <c r="H207" s="269">
        <f>((F148*(1-'5.Closing Stock &amp; W Capital'!$D$16))+(E148*'5.Closing Stock &amp; W Capital'!$D$16))*$C207*H$171</f>
        <v>0</v>
      </c>
      <c r="I207" s="269">
        <f>((G148*(1-'5.Closing Stock &amp; W Capital'!$D$16))+(F148*'5.Closing Stock &amp; W Capital'!$D$16))*$C207*I$171</f>
        <v>0</v>
      </c>
      <c r="J207" s="269">
        <f>((H148*(1-'5.Closing Stock &amp; W Capital'!$D$16))+(G148*'5.Closing Stock &amp; W Capital'!$D$16))*$C207*J$171</f>
        <v>0</v>
      </c>
      <c r="K207" s="73"/>
      <c r="L207" s="73"/>
    </row>
    <row r="208" spans="1:12" ht="15.75" customHeight="1">
      <c r="A208" s="265">
        <f t="shared" si="93"/>
        <v>0</v>
      </c>
      <c r="B208" s="78" t="s">
        <v>571</v>
      </c>
      <c r="C208" s="55"/>
      <c r="D208" s="269">
        <f>(B149*(1-'5.Closing Stock &amp; W Capital'!$D$16))*$C208*D$171</f>
        <v>0</v>
      </c>
      <c r="E208" s="269">
        <f>((C149*(1-'5.Closing Stock &amp; W Capital'!$D$16))+(B149*'5.Closing Stock &amp; W Capital'!$D$16))*$C208*E$171</f>
        <v>0</v>
      </c>
      <c r="F208" s="269">
        <f>((D149*(1-'5.Closing Stock &amp; W Capital'!$D$16))+(C149*'5.Closing Stock &amp; W Capital'!$D$16))*$C208*F$171</f>
        <v>0</v>
      </c>
      <c r="G208" s="269">
        <f>((E149*(1-'5.Closing Stock &amp; W Capital'!$D$16))+(D149*'5.Closing Stock &amp; W Capital'!$D$16))*$C208*G$171</f>
        <v>0</v>
      </c>
      <c r="H208" s="269">
        <f>((F149*(1-'5.Closing Stock &amp; W Capital'!$D$16))+(E149*'5.Closing Stock &amp; W Capital'!$D$16))*$C208*H$171</f>
        <v>0</v>
      </c>
      <c r="I208" s="269">
        <f>((G149*(1-'5.Closing Stock &amp; W Capital'!$D$16))+(F149*'5.Closing Stock &amp; W Capital'!$D$16))*$C208*I$171</f>
        <v>0</v>
      </c>
      <c r="J208" s="269">
        <f>((H149*(1-'5.Closing Stock &amp; W Capital'!$D$16))+(G149*'5.Closing Stock &amp; W Capital'!$D$16))*$C208*J$171</f>
        <v>0</v>
      </c>
      <c r="K208" s="73"/>
      <c r="L208" s="73"/>
    </row>
    <row r="209" spans="1:12" ht="15.75" customHeight="1">
      <c r="A209" s="265">
        <f t="shared" si="93"/>
        <v>0</v>
      </c>
      <c r="B209" s="78" t="s">
        <v>571</v>
      </c>
      <c r="C209" s="55"/>
      <c r="D209" s="269">
        <f>(B150*(1-'5.Closing Stock &amp; W Capital'!$D$16))*$C209*D$171</f>
        <v>0</v>
      </c>
      <c r="E209" s="269">
        <f>((C150*(1-'5.Closing Stock &amp; W Capital'!$D$16))+(B150*'5.Closing Stock &amp; W Capital'!$D$16))*$C209*E$171</f>
        <v>0</v>
      </c>
      <c r="F209" s="269">
        <f>((D150*(1-'5.Closing Stock &amp; W Capital'!$D$16))+(C150*'5.Closing Stock &amp; W Capital'!$D$16))*$C209*F$171</f>
        <v>0</v>
      </c>
      <c r="G209" s="269">
        <f>((E150*(1-'5.Closing Stock &amp; W Capital'!$D$16))+(D150*'5.Closing Stock &amp; W Capital'!$D$16))*$C209*G$171</f>
        <v>0</v>
      </c>
      <c r="H209" s="269">
        <f>((F150*(1-'5.Closing Stock &amp; W Capital'!$D$16))+(E150*'5.Closing Stock &amp; W Capital'!$D$16))*$C209*H$171</f>
        <v>0</v>
      </c>
      <c r="I209" s="269">
        <f>((G150*(1-'5.Closing Stock &amp; W Capital'!$D$16))+(F150*'5.Closing Stock &amp; W Capital'!$D$16))*$C209*I$171</f>
        <v>0</v>
      </c>
      <c r="J209" s="269">
        <f>((H150*(1-'5.Closing Stock &amp; W Capital'!$D$16))+(G150*'5.Closing Stock &amp; W Capital'!$D$16))*$C209*J$171</f>
        <v>0</v>
      </c>
      <c r="K209" s="73"/>
      <c r="L209" s="73"/>
    </row>
    <row r="210" spans="1:12" ht="15.75" customHeight="1">
      <c r="A210" s="265">
        <f t="shared" si="93"/>
        <v>0</v>
      </c>
      <c r="B210" s="78" t="s">
        <v>571</v>
      </c>
      <c r="C210" s="55"/>
      <c r="D210" s="269">
        <f>(B151*(1-'5.Closing Stock &amp; W Capital'!$D$16))*$C210*D$171</f>
        <v>0</v>
      </c>
      <c r="E210" s="269">
        <f>((C151*(1-'5.Closing Stock &amp; W Capital'!$D$16))+(B151*'5.Closing Stock &amp; W Capital'!$D$16))*$C210*E$171</f>
        <v>0</v>
      </c>
      <c r="F210" s="269">
        <f>((D151*(1-'5.Closing Stock &amp; W Capital'!$D$16))+(C151*'5.Closing Stock &amp; W Capital'!$D$16))*$C210*F$171</f>
        <v>0</v>
      </c>
      <c r="G210" s="269">
        <f>((E151*(1-'5.Closing Stock &amp; W Capital'!$D$16))+(D151*'5.Closing Stock &amp; W Capital'!$D$16))*$C210*G$171</f>
        <v>0</v>
      </c>
      <c r="H210" s="269">
        <f>((F151*(1-'5.Closing Stock &amp; W Capital'!$D$16))+(E151*'5.Closing Stock &amp; W Capital'!$D$16))*$C210*H$171</f>
        <v>0</v>
      </c>
      <c r="I210" s="269">
        <f>((G151*(1-'5.Closing Stock &amp; W Capital'!$D$16))+(F151*'5.Closing Stock &amp; W Capital'!$D$16))*$C210*I$171</f>
        <v>0</v>
      </c>
      <c r="J210" s="269">
        <f>((H151*(1-'5.Closing Stock &amp; W Capital'!$D$16))+(G151*'5.Closing Stock &amp; W Capital'!$D$16))*$C210*J$171</f>
        <v>0</v>
      </c>
      <c r="K210" s="73"/>
      <c r="L210" s="73"/>
    </row>
    <row r="211" spans="1:12" ht="15.75" customHeight="1">
      <c r="A211" s="265" t="str">
        <f t="shared" si="93"/>
        <v>Onion</v>
      </c>
      <c r="B211" s="78" t="s">
        <v>571</v>
      </c>
      <c r="C211" s="272">
        <v>0</v>
      </c>
      <c r="D211" s="269">
        <f>(B152*(1-'5.Closing Stock &amp; W Capital'!$D$16))*$C211*D$171</f>
        <v>0</v>
      </c>
      <c r="E211" s="269">
        <f>((C152*(1-'5.Closing Stock &amp; W Capital'!$D$16))+(B152*'5.Closing Stock &amp; W Capital'!$D$16))*$C211*E$171</f>
        <v>0</v>
      </c>
      <c r="F211" s="269">
        <f>((D152*(1-'5.Closing Stock &amp; W Capital'!$D$16))+(C152*'5.Closing Stock &amp; W Capital'!$D$16))*$C211*F$171</f>
        <v>0</v>
      </c>
      <c r="G211" s="269">
        <f>((E152*(1-'5.Closing Stock &amp; W Capital'!$D$16))+(D152*'5.Closing Stock &amp; W Capital'!$D$16))*$C211*G$171</f>
        <v>0</v>
      </c>
      <c r="H211" s="269">
        <f>((F152*(1-'5.Closing Stock &amp; W Capital'!$D$16))+(E152*'5.Closing Stock &amp; W Capital'!$D$16))*$C211*H$171</f>
        <v>0</v>
      </c>
      <c r="I211" s="269">
        <f>((G152*(1-'5.Closing Stock &amp; W Capital'!$D$16))+(F152*'5.Closing Stock &amp; W Capital'!$D$16))*$C211*I$171</f>
        <v>0</v>
      </c>
      <c r="J211" s="269">
        <f>((H152*(1-'5.Closing Stock &amp; W Capital'!$D$16))+(G152*'5.Closing Stock &amp; W Capital'!$D$16))*$C211*J$171</f>
        <v>0</v>
      </c>
      <c r="K211" s="73"/>
      <c r="L211" s="73"/>
    </row>
    <row r="212" spans="1:12" ht="15.75" customHeight="1">
      <c r="A212" s="265" t="str">
        <f t="shared" si="93"/>
        <v>Tomato</v>
      </c>
      <c r="B212" s="78" t="s">
        <v>571</v>
      </c>
      <c r="C212" s="272">
        <v>0</v>
      </c>
      <c r="D212" s="269">
        <f>(B153*(1-'5.Closing Stock &amp; W Capital'!$D$16))*$C212*D$171</f>
        <v>0</v>
      </c>
      <c r="E212" s="269">
        <f>((C153*(1-'5.Closing Stock &amp; W Capital'!$D$16))+(B153*'5.Closing Stock &amp; W Capital'!$D$16))*$C212*E$171</f>
        <v>0</v>
      </c>
      <c r="F212" s="269">
        <f>((D153*(1-'5.Closing Stock &amp; W Capital'!$D$16))+(C153*'5.Closing Stock &amp; W Capital'!$D$16))*$C212*F$171</f>
        <v>0</v>
      </c>
      <c r="G212" s="269">
        <f>((E153*(1-'5.Closing Stock &amp; W Capital'!$D$16))+(D153*'5.Closing Stock &amp; W Capital'!$D$16))*$C212*G$171</f>
        <v>0</v>
      </c>
      <c r="H212" s="269">
        <f>((F153*(1-'5.Closing Stock &amp; W Capital'!$D$16))+(E153*'5.Closing Stock &amp; W Capital'!$D$16))*$C212*H$171</f>
        <v>0</v>
      </c>
      <c r="I212" s="269">
        <f>((G153*(1-'5.Closing Stock &amp; W Capital'!$D$16))+(F153*'5.Closing Stock &amp; W Capital'!$D$16))*$C212*I$171</f>
        <v>0</v>
      </c>
      <c r="J212" s="269">
        <f>((H153*(1-'5.Closing Stock &amp; W Capital'!$D$16))+(G153*'5.Closing Stock &amp; W Capital'!$D$16))*$C212*J$171</f>
        <v>0</v>
      </c>
      <c r="K212" s="73"/>
      <c r="L212" s="73"/>
    </row>
    <row r="213" spans="1:12" ht="15.75" customHeight="1">
      <c r="A213" s="265" t="str">
        <f t="shared" si="93"/>
        <v>Okra</v>
      </c>
      <c r="B213" s="78" t="s">
        <v>571</v>
      </c>
      <c r="C213" s="272">
        <v>0</v>
      </c>
      <c r="D213" s="269">
        <f>(B154*(1-'5.Closing Stock &amp; W Capital'!$D$16))*$C213*D$171</f>
        <v>0</v>
      </c>
      <c r="E213" s="269">
        <f>((C154*(1-'5.Closing Stock &amp; W Capital'!$D$16))+(B154*'5.Closing Stock &amp; W Capital'!$D$16))*$C213*E$171</f>
        <v>0</v>
      </c>
      <c r="F213" s="269">
        <f>((D154*(1-'5.Closing Stock &amp; W Capital'!$D$16))+(C154*'5.Closing Stock &amp; W Capital'!$D$16))*$C213*F$171</f>
        <v>0</v>
      </c>
      <c r="G213" s="269">
        <f>((E154*(1-'5.Closing Stock &amp; W Capital'!$D$16))+(D154*'5.Closing Stock &amp; W Capital'!$D$16))*$C213*G$171</f>
        <v>0</v>
      </c>
      <c r="H213" s="269">
        <f>((F154*(1-'5.Closing Stock &amp; W Capital'!$D$16))+(E154*'5.Closing Stock &amp; W Capital'!$D$16))*$C213*H$171</f>
        <v>0</v>
      </c>
      <c r="I213" s="269">
        <f>((G154*(1-'5.Closing Stock &amp; W Capital'!$D$16))+(F154*'5.Closing Stock &amp; W Capital'!$D$16))*$C213*I$171</f>
        <v>0</v>
      </c>
      <c r="J213" s="269">
        <f>((H154*(1-'5.Closing Stock &amp; W Capital'!$D$16))+(G154*'5.Closing Stock &amp; W Capital'!$D$16))*$C213*J$171</f>
        <v>0</v>
      </c>
      <c r="K213" s="73"/>
      <c r="L213" s="73"/>
    </row>
    <row r="214" spans="1:12" ht="15.75" customHeight="1">
      <c r="A214" s="265" t="str">
        <f t="shared" si="93"/>
        <v>Chilli</v>
      </c>
      <c r="B214" s="78" t="s">
        <v>571</v>
      </c>
      <c r="C214" s="272">
        <v>0</v>
      </c>
      <c r="D214" s="269">
        <f>(B155*(1-'5.Closing Stock &amp; W Capital'!$D$16))*$C214*D$171</f>
        <v>0</v>
      </c>
      <c r="E214" s="269">
        <f>((C155*(1-'5.Closing Stock &amp; W Capital'!$D$16))+(B155*'5.Closing Stock &amp; W Capital'!$D$16))*$C214*E$171</f>
        <v>0</v>
      </c>
      <c r="F214" s="269">
        <f>((D155*(1-'5.Closing Stock &amp; W Capital'!$D$16))+(C155*'5.Closing Stock &amp; W Capital'!$D$16))*$C214*F$171</f>
        <v>0</v>
      </c>
      <c r="G214" s="269">
        <f>((E155*(1-'5.Closing Stock &amp; W Capital'!$D$16))+(D155*'5.Closing Stock &amp; W Capital'!$D$16))*$C214*G$171</f>
        <v>0</v>
      </c>
      <c r="H214" s="269">
        <f>((F155*(1-'5.Closing Stock &amp; W Capital'!$D$16))+(E155*'5.Closing Stock &amp; W Capital'!$D$16))*$C214*H$171</f>
        <v>0</v>
      </c>
      <c r="I214" s="269">
        <f>((G155*(1-'5.Closing Stock &amp; W Capital'!$D$16))+(F155*'5.Closing Stock &amp; W Capital'!$D$16))*$C214*I$171</f>
        <v>0</v>
      </c>
      <c r="J214" s="269">
        <f>((H155*(1-'5.Closing Stock &amp; W Capital'!$D$16))+(G155*'5.Closing Stock &amp; W Capital'!$D$16))*$C214*J$171</f>
        <v>0</v>
      </c>
      <c r="K214" s="73"/>
      <c r="L214" s="73"/>
    </row>
    <row r="215" spans="1:12" ht="15.75" customHeight="1">
      <c r="A215" s="265" t="str">
        <f t="shared" si="93"/>
        <v>Brinjal</v>
      </c>
      <c r="B215" s="78" t="s">
        <v>571</v>
      </c>
      <c r="C215" s="272">
        <v>0</v>
      </c>
      <c r="D215" s="269">
        <f>(B156*(1-'5.Closing Stock &amp; W Capital'!$D$16))*$C215*D$171</f>
        <v>0</v>
      </c>
      <c r="E215" s="269">
        <f>((C156*(1-'5.Closing Stock &amp; W Capital'!$D$16))+(B156*'5.Closing Stock &amp; W Capital'!$D$16))*$C215*E$171</f>
        <v>0</v>
      </c>
      <c r="F215" s="269">
        <f>((D156*(1-'5.Closing Stock &amp; W Capital'!$D$16))+(C156*'5.Closing Stock &amp; W Capital'!$D$16))*$C215*F$171</f>
        <v>0</v>
      </c>
      <c r="G215" s="269">
        <f>((E156*(1-'5.Closing Stock &amp; W Capital'!$D$16))+(D156*'5.Closing Stock &amp; W Capital'!$D$16))*$C215*G$171</f>
        <v>0</v>
      </c>
      <c r="H215" s="269">
        <f>((F156*(1-'5.Closing Stock &amp; W Capital'!$D$16))+(E156*'5.Closing Stock &amp; W Capital'!$D$16))*$C215*H$171</f>
        <v>0</v>
      </c>
      <c r="I215" s="269">
        <f>((G156*(1-'5.Closing Stock &amp; W Capital'!$D$16))+(F156*'5.Closing Stock &amp; W Capital'!$D$16))*$C215*I$171</f>
        <v>0</v>
      </c>
      <c r="J215" s="269">
        <f>((H156*(1-'5.Closing Stock &amp; W Capital'!$D$16))+(G156*'5.Closing Stock &amp; W Capital'!$D$16))*$C215*J$171</f>
        <v>0</v>
      </c>
      <c r="K215" s="73"/>
      <c r="L215" s="73"/>
    </row>
    <row r="216" spans="1:12" ht="15.75" customHeight="1">
      <c r="A216" s="265">
        <f t="shared" si="93"/>
        <v>0</v>
      </c>
      <c r="B216" s="78" t="s">
        <v>571</v>
      </c>
      <c r="C216" s="272"/>
      <c r="D216" s="269">
        <f>(B157*(1-'5.Closing Stock &amp; W Capital'!$D$16))*$C216*D$171</f>
        <v>0</v>
      </c>
      <c r="E216" s="269">
        <f>((C157*(1-'5.Closing Stock &amp; W Capital'!$D$16))+(B157*'5.Closing Stock &amp; W Capital'!$D$16))*$C216*E$171</f>
        <v>0</v>
      </c>
      <c r="F216" s="269">
        <f>((D157*(1-'5.Closing Stock &amp; W Capital'!$D$16))+(C157*'5.Closing Stock &amp; W Capital'!$D$16))*$C216*F$171</f>
        <v>0</v>
      </c>
      <c r="G216" s="269">
        <f>((E157*(1-'5.Closing Stock &amp; W Capital'!$D$16))+(D157*'5.Closing Stock &amp; W Capital'!$D$16))*$C216*G$171</f>
        <v>0</v>
      </c>
      <c r="H216" s="269">
        <f>((F157*(1-'5.Closing Stock &amp; W Capital'!$D$16))+(E157*'5.Closing Stock &amp; W Capital'!$D$16))*$C216*H$171</f>
        <v>0</v>
      </c>
      <c r="I216" s="269">
        <f>((G157*(1-'5.Closing Stock &amp; W Capital'!$D$16))+(F157*'5.Closing Stock &amp; W Capital'!$D$16))*$C216*I$171</f>
        <v>0</v>
      </c>
      <c r="J216" s="269">
        <f>((H157*(1-'5.Closing Stock &amp; W Capital'!$D$16))+(G157*'5.Closing Stock &amp; W Capital'!$D$16))*$C216*J$171</f>
        <v>0</v>
      </c>
      <c r="K216" s="73"/>
      <c r="L216" s="73"/>
    </row>
    <row r="217" spans="1:12" ht="15.75" customHeight="1">
      <c r="A217" s="265">
        <f t="shared" si="93"/>
        <v>0</v>
      </c>
      <c r="B217" s="78" t="s">
        <v>571</v>
      </c>
      <c r="C217" s="272"/>
      <c r="D217" s="269">
        <f>(B158*(1-'5.Closing Stock &amp; W Capital'!$D$16))*$C217*D$171</f>
        <v>0</v>
      </c>
      <c r="E217" s="269">
        <f>((C158*(1-'5.Closing Stock &amp; W Capital'!$D$16))+(B158*'5.Closing Stock &amp; W Capital'!$D$16))*$C217*E$171</f>
        <v>0</v>
      </c>
      <c r="F217" s="269">
        <f>((D158*(1-'5.Closing Stock &amp; W Capital'!$D$16))+(C158*'5.Closing Stock &amp; W Capital'!$D$16))*$C217*F$171</f>
        <v>0</v>
      </c>
      <c r="G217" s="269">
        <f>((E158*(1-'5.Closing Stock &amp; W Capital'!$D$16))+(D158*'5.Closing Stock &amp; W Capital'!$D$16))*$C217*G$171</f>
        <v>0</v>
      </c>
      <c r="H217" s="269">
        <f>((F158*(1-'5.Closing Stock &amp; W Capital'!$D$16))+(E158*'5.Closing Stock &amp; W Capital'!$D$16))*$C217*H$171</f>
        <v>0</v>
      </c>
      <c r="I217" s="269">
        <f>((G158*(1-'5.Closing Stock &amp; W Capital'!$D$16))+(F158*'5.Closing Stock &amp; W Capital'!$D$16))*$C217*I$171</f>
        <v>0</v>
      </c>
      <c r="J217" s="269">
        <f>((H158*(1-'5.Closing Stock &amp; W Capital'!$D$16))+(G158*'5.Closing Stock &amp; W Capital'!$D$16))*$C217*J$171</f>
        <v>0</v>
      </c>
      <c r="K217" s="73"/>
      <c r="L217" s="73"/>
    </row>
    <row r="218" spans="1:12" ht="15.75" customHeight="1">
      <c r="A218" s="265">
        <f t="shared" si="93"/>
        <v>0</v>
      </c>
      <c r="B218" s="78" t="s">
        <v>571</v>
      </c>
      <c r="C218" s="272"/>
      <c r="D218" s="269">
        <f>(B159*(1-'5.Closing Stock &amp; W Capital'!$D$16))*$C218*D$171</f>
        <v>0</v>
      </c>
      <c r="E218" s="269">
        <f>((C159*(1-'5.Closing Stock &amp; W Capital'!$D$16))+(B159*'5.Closing Stock &amp; W Capital'!$D$16))*$C218*E$171</f>
        <v>0</v>
      </c>
      <c r="F218" s="269">
        <f>((D159*(1-'5.Closing Stock &amp; W Capital'!$D$16))+(C159*'5.Closing Stock &amp; W Capital'!$D$16))*$C218*F$171</f>
        <v>0</v>
      </c>
      <c r="G218" s="269">
        <f>((E159*(1-'5.Closing Stock &amp; W Capital'!$D$16))+(D159*'5.Closing Stock &amp; W Capital'!$D$16))*$C218*G$171</f>
        <v>0</v>
      </c>
      <c r="H218" s="269">
        <f>((F159*(1-'5.Closing Stock &amp; W Capital'!$D$16))+(E159*'5.Closing Stock &amp; W Capital'!$D$16))*$C218*H$171</f>
        <v>0</v>
      </c>
      <c r="I218" s="269">
        <f>((G159*(1-'5.Closing Stock &amp; W Capital'!$D$16))+(F159*'5.Closing Stock &amp; W Capital'!$D$16))*$C218*I$171</f>
        <v>0</v>
      </c>
      <c r="J218" s="269">
        <f>((H159*(1-'5.Closing Stock &amp; W Capital'!$D$16))+(G159*'5.Closing Stock &amp; W Capital'!$D$16))*$C218*J$171</f>
        <v>0</v>
      </c>
      <c r="K218" s="73"/>
      <c r="L218" s="73"/>
    </row>
    <row r="219" spans="1:12" ht="15.75" customHeight="1">
      <c r="A219" s="265">
        <f t="shared" si="93"/>
        <v>0</v>
      </c>
      <c r="B219" s="78" t="s">
        <v>571</v>
      </c>
      <c r="C219" s="272"/>
      <c r="D219" s="269">
        <f>(B160*(1-'5.Closing Stock &amp; W Capital'!$D$16))*$C219*D$171</f>
        <v>0</v>
      </c>
      <c r="E219" s="269">
        <f>((C160*(1-'5.Closing Stock &amp; W Capital'!$D$16))+(B160*'5.Closing Stock &amp; W Capital'!$D$16))*$C219*E$171</f>
        <v>0</v>
      </c>
      <c r="F219" s="269">
        <f>((D160*(1-'5.Closing Stock &amp; W Capital'!$D$16))+(C160*'5.Closing Stock &amp; W Capital'!$D$16))*$C219*F$171</f>
        <v>0</v>
      </c>
      <c r="G219" s="269">
        <f>((E160*(1-'5.Closing Stock &amp; W Capital'!$D$16))+(D160*'5.Closing Stock &amp; W Capital'!$D$16))*$C219*G$171</f>
        <v>0</v>
      </c>
      <c r="H219" s="269">
        <f>((F160*(1-'5.Closing Stock &amp; W Capital'!$D$16))+(E160*'5.Closing Stock &amp; W Capital'!$D$16))*$C219*H$171</f>
        <v>0</v>
      </c>
      <c r="I219" s="269">
        <f>((G160*(1-'5.Closing Stock &amp; W Capital'!$D$16))+(F160*'5.Closing Stock &amp; W Capital'!$D$16))*$C219*I$171</f>
        <v>0</v>
      </c>
      <c r="J219" s="269">
        <f>((H160*(1-'5.Closing Stock &amp; W Capital'!$D$16))+(G160*'5.Closing Stock &amp; W Capital'!$D$16))*$C219*J$171</f>
        <v>0</v>
      </c>
      <c r="K219" s="73"/>
      <c r="L219" s="73"/>
    </row>
    <row r="220" spans="1:12" ht="15.75" customHeight="1">
      <c r="A220" s="265">
        <f t="shared" si="93"/>
        <v>0</v>
      </c>
      <c r="B220" s="78" t="s">
        <v>571</v>
      </c>
      <c r="C220" s="272"/>
      <c r="D220" s="269">
        <f>(B161*(1-'5.Closing Stock &amp; W Capital'!$D$16))*$C220*D$171</f>
        <v>0</v>
      </c>
      <c r="E220" s="269">
        <f>((C161*(1-'5.Closing Stock &amp; W Capital'!$D$16))+(B161*'5.Closing Stock &amp; W Capital'!$D$16))*$C220*E$171</f>
        <v>0</v>
      </c>
      <c r="F220" s="269">
        <f>((D161*(1-'5.Closing Stock &amp; W Capital'!$D$16))+(C161*'5.Closing Stock &amp; W Capital'!$D$16))*$C220*F$171</f>
        <v>0</v>
      </c>
      <c r="G220" s="269">
        <f>((E161*(1-'5.Closing Stock &amp; W Capital'!$D$16))+(D161*'5.Closing Stock &amp; W Capital'!$D$16))*$C220*G$171</f>
        <v>0</v>
      </c>
      <c r="H220" s="269">
        <f>((F161*(1-'5.Closing Stock &amp; W Capital'!$D$16))+(E161*'5.Closing Stock &amp; W Capital'!$D$16))*$C220*H$171</f>
        <v>0</v>
      </c>
      <c r="I220" s="269">
        <f>((G161*(1-'5.Closing Stock &amp; W Capital'!$D$16))+(F161*'5.Closing Stock &amp; W Capital'!$D$16))*$C220*I$171</f>
        <v>0</v>
      </c>
      <c r="J220" s="269">
        <f>((H161*(1-'5.Closing Stock &amp; W Capital'!$D$16))+(G161*'5.Closing Stock &amp; W Capital'!$D$16))*$C220*J$171</f>
        <v>0</v>
      </c>
      <c r="K220" s="73"/>
      <c r="L220" s="73"/>
    </row>
    <row r="221" spans="1:12" ht="15.75" customHeight="1">
      <c r="A221" s="265">
        <f t="shared" si="93"/>
        <v>0</v>
      </c>
      <c r="B221" s="78" t="s">
        <v>571</v>
      </c>
      <c r="C221" s="272"/>
      <c r="D221" s="269">
        <f>(B162*(1-'5.Closing Stock &amp; W Capital'!$D$16))*$C221*D$171</f>
        <v>0</v>
      </c>
      <c r="E221" s="269">
        <f>((C162*(1-'5.Closing Stock &amp; W Capital'!$D$16))+(B162*'5.Closing Stock &amp; W Capital'!$D$16))*$C221*E$171</f>
        <v>0</v>
      </c>
      <c r="F221" s="269">
        <f>((D162*(1-'5.Closing Stock &amp; W Capital'!$D$16))+(C162*'5.Closing Stock &amp; W Capital'!$D$16))*$C221*F$171</f>
        <v>0</v>
      </c>
      <c r="G221" s="269">
        <f>((E162*(1-'5.Closing Stock &amp; W Capital'!$D$16))+(D162*'5.Closing Stock &amp; W Capital'!$D$16))*$C221*G$171</f>
        <v>0</v>
      </c>
      <c r="H221" s="269">
        <f>((F162*(1-'5.Closing Stock &amp; W Capital'!$D$16))+(E162*'5.Closing Stock &amp; W Capital'!$D$16))*$C221*H$171</f>
        <v>0</v>
      </c>
      <c r="I221" s="269">
        <f>((G162*(1-'5.Closing Stock &amp; W Capital'!$D$16))+(F162*'5.Closing Stock &amp; W Capital'!$D$16))*$C221*I$171</f>
        <v>0</v>
      </c>
      <c r="J221" s="269">
        <f>((H162*(1-'5.Closing Stock &amp; W Capital'!$D$16))+(G162*'5.Closing Stock &amp; W Capital'!$D$16))*$C221*J$171</f>
        <v>0</v>
      </c>
      <c r="K221" s="73"/>
      <c r="L221" s="73"/>
    </row>
    <row r="222" spans="1:12" ht="15.75" customHeight="1">
      <c r="A222" s="265">
        <f t="shared" si="93"/>
        <v>0</v>
      </c>
      <c r="B222" s="78" t="s">
        <v>571</v>
      </c>
      <c r="C222" s="272"/>
      <c r="D222" s="269">
        <f>(B163*(1-'5.Closing Stock &amp; W Capital'!$D$16))*$C222*D$171</f>
        <v>0</v>
      </c>
      <c r="E222" s="269">
        <f>((C163*(1-'5.Closing Stock &amp; W Capital'!$D$16))+(B163*'5.Closing Stock &amp; W Capital'!$D$16))*$C222*E$171</f>
        <v>0</v>
      </c>
      <c r="F222" s="269">
        <f>((D163*(1-'5.Closing Stock &amp; W Capital'!$D$16))+(C163*'5.Closing Stock &amp; W Capital'!$D$16))*$C222*F$171</f>
        <v>0</v>
      </c>
      <c r="G222" s="269">
        <f>((E163*(1-'5.Closing Stock &amp; W Capital'!$D$16))+(D163*'5.Closing Stock &amp; W Capital'!$D$16))*$C222*G$171</f>
        <v>0</v>
      </c>
      <c r="H222" s="269">
        <f>((F163*(1-'5.Closing Stock &amp; W Capital'!$D$16))+(E163*'5.Closing Stock &amp; W Capital'!$D$16))*$C222*H$171</f>
        <v>0</v>
      </c>
      <c r="I222" s="269">
        <f>((G163*(1-'5.Closing Stock &amp; W Capital'!$D$16))+(F163*'5.Closing Stock &amp; W Capital'!$D$16))*$C222*I$171</f>
        <v>0</v>
      </c>
      <c r="J222" s="269">
        <f>((H163*(1-'5.Closing Stock &amp; W Capital'!$D$16))+(G163*'5.Closing Stock &amp; W Capital'!$D$16))*$C222*J$171</f>
        <v>0</v>
      </c>
      <c r="K222" s="73"/>
      <c r="L222" s="73"/>
    </row>
    <row r="223" spans="1:12" ht="15.75" customHeight="1">
      <c r="A223" s="265" t="str">
        <f t="shared" si="93"/>
        <v>Pomegranate</v>
      </c>
      <c r="B223" s="78" t="s">
        <v>571</v>
      </c>
      <c r="C223" s="272">
        <v>0</v>
      </c>
      <c r="D223" s="269">
        <f>(B164*(1-'5.Closing Stock &amp; W Capital'!$D$16))*$C223*D$171</f>
        <v>0</v>
      </c>
      <c r="E223" s="269">
        <f>((C164*(1-'5.Closing Stock &amp; W Capital'!$D$16))+(B164*'5.Closing Stock &amp; W Capital'!$D$16))*$C223*E$171</f>
        <v>0</v>
      </c>
      <c r="F223" s="269">
        <f>((D164*(1-'5.Closing Stock &amp; W Capital'!$D$16))+(C164*'5.Closing Stock &amp; W Capital'!$D$16))*$C223*F$171</f>
        <v>0</v>
      </c>
      <c r="G223" s="269">
        <f>((E164*(1-'5.Closing Stock &amp; W Capital'!$D$16))+(D164*'5.Closing Stock &amp; W Capital'!$D$16))*$C223*G$171</f>
        <v>0</v>
      </c>
      <c r="H223" s="269">
        <f>((F164*(1-'5.Closing Stock &amp; W Capital'!$D$16))+(E164*'5.Closing Stock &amp; W Capital'!$D$16))*$C223*H$171</f>
        <v>0</v>
      </c>
      <c r="I223" s="269">
        <f>((G164*(1-'5.Closing Stock &amp; W Capital'!$D$16))+(F164*'5.Closing Stock &amp; W Capital'!$D$16))*$C223*I$171</f>
        <v>0</v>
      </c>
      <c r="J223" s="269">
        <f>((H164*(1-'5.Closing Stock &amp; W Capital'!$D$16))+(G164*'5.Closing Stock &amp; W Capital'!$D$16))*$C223*J$171</f>
        <v>0</v>
      </c>
      <c r="K223" s="73"/>
      <c r="L223" s="73"/>
    </row>
    <row r="224" spans="1:12" ht="15.75" customHeight="1">
      <c r="A224" s="265" t="str">
        <f t="shared" si="93"/>
        <v>Custard Apple</v>
      </c>
      <c r="B224" s="78" t="s">
        <v>571</v>
      </c>
      <c r="C224" s="272"/>
      <c r="D224" s="269">
        <f>(B165*(1-'5.Closing Stock &amp; W Capital'!$D$16))*$C224*D$171</f>
        <v>0</v>
      </c>
      <c r="E224" s="269">
        <f>((C165*(1-'5.Closing Stock &amp; W Capital'!$D$16))+(B165*'5.Closing Stock &amp; W Capital'!$D$16))*$C224*E$171</f>
        <v>0</v>
      </c>
      <c r="F224" s="269">
        <f>((D165*(1-'5.Closing Stock &amp; W Capital'!$D$16))+(C165*'5.Closing Stock &amp; W Capital'!$D$16))*$C224*F$171</f>
        <v>0</v>
      </c>
      <c r="G224" s="269">
        <f>((E165*(1-'5.Closing Stock &amp; W Capital'!$D$16))+(D165*'5.Closing Stock &amp; W Capital'!$D$16))*$C224*G$171</f>
        <v>0</v>
      </c>
      <c r="H224" s="269">
        <f>((F165*(1-'5.Closing Stock &amp; W Capital'!$D$16))+(E165*'5.Closing Stock &amp; W Capital'!$D$16))*$C224*H$171</f>
        <v>0</v>
      </c>
      <c r="I224" s="269">
        <f>((G165*(1-'5.Closing Stock &amp; W Capital'!$D$16))+(F165*'5.Closing Stock &amp; W Capital'!$D$16))*$C224*I$171</f>
        <v>0</v>
      </c>
      <c r="J224" s="269">
        <f>((H165*(1-'5.Closing Stock &amp; W Capital'!$D$16))+(G165*'5.Closing Stock &amp; W Capital'!$D$16))*$C224*J$171</f>
        <v>0</v>
      </c>
      <c r="K224" s="73"/>
      <c r="L224" s="73"/>
    </row>
    <row r="225" spans="1:12" ht="15.75" customHeight="1">
      <c r="A225" s="265" t="str">
        <f t="shared" si="93"/>
        <v>Guava</v>
      </c>
      <c r="B225" s="78" t="s">
        <v>571</v>
      </c>
      <c r="C225" s="272"/>
      <c r="D225" s="269">
        <f>(B166*(1-'5.Closing Stock &amp; W Capital'!$D$16))*$C225*D$171</f>
        <v>0</v>
      </c>
      <c r="E225" s="269">
        <f>((C166*(1-'5.Closing Stock &amp; W Capital'!$D$16))+(B166*'5.Closing Stock &amp; W Capital'!$D$16))*$C225*E$171</f>
        <v>0</v>
      </c>
      <c r="F225" s="269">
        <f>((D166*(1-'5.Closing Stock &amp; W Capital'!$D$16))+(C166*'5.Closing Stock &amp; W Capital'!$D$16))*$C225*F$171</f>
        <v>0</v>
      </c>
      <c r="G225" s="269">
        <f>((E166*(1-'5.Closing Stock &amp; W Capital'!$D$16))+(D166*'5.Closing Stock &amp; W Capital'!$D$16))*$C225*G$171</f>
        <v>0</v>
      </c>
      <c r="H225" s="269">
        <f>((F166*(1-'5.Closing Stock &amp; W Capital'!$D$16))+(E166*'5.Closing Stock &amp; W Capital'!$D$16))*$C225*H$171</f>
        <v>0</v>
      </c>
      <c r="I225" s="269">
        <f>((G166*(1-'5.Closing Stock &amp; W Capital'!$D$16))+(F166*'5.Closing Stock &amp; W Capital'!$D$16))*$C225*I$171</f>
        <v>0</v>
      </c>
      <c r="J225" s="269">
        <f>((H166*(1-'5.Closing Stock &amp; W Capital'!$D$16))+(G166*'5.Closing Stock &amp; W Capital'!$D$16))*$C225*J$171</f>
        <v>0</v>
      </c>
      <c r="K225" s="73"/>
      <c r="L225" s="73"/>
    </row>
    <row r="226" spans="1:12" ht="15.75" customHeight="1">
      <c r="A226" s="265" t="str">
        <f t="shared" si="93"/>
        <v>Citrus</v>
      </c>
      <c r="B226" s="78" t="s">
        <v>571</v>
      </c>
      <c r="C226" s="272"/>
      <c r="D226" s="269">
        <f>(B167*(1-'5.Closing Stock &amp; W Capital'!$D$16))*$C226*D$171</f>
        <v>0</v>
      </c>
      <c r="E226" s="269">
        <f>((C167*(1-'5.Closing Stock &amp; W Capital'!$D$16))+(B167*'5.Closing Stock &amp; W Capital'!$D$16))*$C226*E$171</f>
        <v>0</v>
      </c>
      <c r="F226" s="269">
        <f>((D167*(1-'5.Closing Stock &amp; W Capital'!$D$16))+(C167*'5.Closing Stock &amp; W Capital'!$D$16))*$C226*F$171</f>
        <v>0</v>
      </c>
      <c r="G226" s="269">
        <f>((E167*(1-'5.Closing Stock &amp; W Capital'!$D$16))+(D167*'5.Closing Stock &amp; W Capital'!$D$16))*$C226*G$171</f>
        <v>0</v>
      </c>
      <c r="H226" s="269">
        <f>((F167*(1-'5.Closing Stock &amp; W Capital'!$D$16))+(E167*'5.Closing Stock &amp; W Capital'!$D$16))*$C226*H$171</f>
        <v>0</v>
      </c>
      <c r="I226" s="269">
        <f>((G167*(1-'5.Closing Stock &amp; W Capital'!$D$16))+(F167*'5.Closing Stock &amp; W Capital'!$D$16))*$C226*I$171</f>
        <v>0</v>
      </c>
      <c r="J226" s="269">
        <f>((H167*(1-'5.Closing Stock &amp; W Capital'!$D$16))+(G167*'5.Closing Stock &amp; W Capital'!$D$16))*$C226*J$171</f>
        <v>0</v>
      </c>
      <c r="K226" s="73"/>
      <c r="L226" s="73"/>
    </row>
    <row r="227" spans="1:12" ht="15.75" customHeight="1">
      <c r="A227" s="81"/>
      <c r="B227" s="81"/>
      <c r="C227" s="81"/>
      <c r="D227" s="78"/>
      <c r="E227" s="78"/>
      <c r="F227" s="78"/>
      <c r="G227" s="78"/>
      <c r="H227" s="78"/>
      <c r="I227" s="78"/>
      <c r="J227" s="78"/>
      <c r="K227" s="73"/>
      <c r="L227" s="73"/>
    </row>
    <row r="228" spans="1:12" ht="15.75" customHeight="1">
      <c r="A228" s="81" t="s">
        <v>345</v>
      </c>
      <c r="B228" s="81"/>
      <c r="C228" s="81"/>
      <c r="D228" s="265">
        <f t="shared" ref="D228:J228" si="94">SUM(D177:D227)</f>
        <v>1799326.6593749998</v>
      </c>
      <c r="E228" s="265">
        <f t="shared" si="94"/>
        <v>2125708.2808593754</v>
      </c>
      <c r="F228" s="265">
        <f t="shared" si="94"/>
        <v>2380793.2745625</v>
      </c>
      <c r="G228" s="265">
        <f t="shared" si="94"/>
        <v>2656072.496933789</v>
      </c>
      <c r="H228" s="265">
        <f t="shared" si="94"/>
        <v>2952927.6583558014</v>
      </c>
      <c r="I228" s="265">
        <f t="shared" si="94"/>
        <v>3272828.1546776793</v>
      </c>
      <c r="J228" s="265">
        <f t="shared" si="94"/>
        <v>3617336.3814858566</v>
      </c>
      <c r="K228" s="73"/>
      <c r="L228" s="73"/>
    </row>
    <row r="229" spans="1:12" ht="15.75" customHeight="1">
      <c r="A229" s="78"/>
      <c r="B229" s="78"/>
      <c r="C229" s="78"/>
      <c r="D229" s="78"/>
      <c r="E229" s="78"/>
      <c r="F229" s="78"/>
      <c r="G229" s="78"/>
      <c r="H229" s="78"/>
      <c r="I229" s="78"/>
      <c r="J229" s="78"/>
      <c r="K229" s="73"/>
      <c r="L229" s="73"/>
    </row>
    <row r="230" spans="1:12" ht="15.75" customHeight="1">
      <c r="A230" s="81" t="s">
        <v>573</v>
      </c>
      <c r="B230" s="81"/>
      <c r="C230" s="81"/>
      <c r="D230" s="78"/>
      <c r="E230" s="78"/>
      <c r="F230" s="78"/>
      <c r="G230" s="78"/>
      <c r="H230" s="78"/>
      <c r="I230" s="78"/>
      <c r="J230" s="78"/>
      <c r="K230" s="73"/>
      <c r="L230" s="73"/>
    </row>
    <row r="231" spans="1:12" ht="15.75" customHeight="1">
      <c r="A231" s="81" t="s">
        <v>346</v>
      </c>
      <c r="B231" s="81"/>
      <c r="C231" s="78"/>
      <c r="D231" s="78"/>
      <c r="E231" s="78"/>
      <c r="F231" s="78"/>
      <c r="G231" s="78"/>
      <c r="H231" s="78"/>
      <c r="I231" s="78"/>
      <c r="J231" s="78"/>
      <c r="K231" s="73"/>
      <c r="L231" s="73"/>
    </row>
    <row r="232" spans="1:12" ht="15.75" customHeight="1">
      <c r="A232" s="269" t="str">
        <f t="shared" ref="A232:A253" si="95">A177</f>
        <v>Soybean</v>
      </c>
      <c r="B232" s="78" t="s">
        <v>571</v>
      </c>
      <c r="C232" s="79">
        <v>0</v>
      </c>
      <c r="D232" s="80">
        <f t="shared" ref="D232:E232" si="96">B67*$C$232*D$171</f>
        <v>0</v>
      </c>
      <c r="E232" s="80">
        <f t="shared" si="96"/>
        <v>0</v>
      </c>
      <c r="F232" s="80">
        <f t="shared" ref="F232:J232" si="97">D67*$C$232*F171</f>
        <v>0</v>
      </c>
      <c r="G232" s="80">
        <f t="shared" si="97"/>
        <v>0</v>
      </c>
      <c r="H232" s="80">
        <f t="shared" si="97"/>
        <v>0</v>
      </c>
      <c r="I232" s="80">
        <f t="shared" si="97"/>
        <v>0</v>
      </c>
      <c r="J232" s="80">
        <f t="shared" si="97"/>
        <v>0</v>
      </c>
      <c r="K232" s="73"/>
      <c r="L232" s="73"/>
    </row>
    <row r="233" spans="1:12" ht="15.75" customHeight="1">
      <c r="A233" s="269" t="str">
        <f t="shared" si="95"/>
        <v>Red Gram/Tur</v>
      </c>
      <c r="B233" s="78" t="s">
        <v>571</v>
      </c>
      <c r="C233" s="79">
        <v>0</v>
      </c>
      <c r="D233" s="80">
        <f>B68*$C$233*D$171</f>
        <v>0</v>
      </c>
      <c r="E233" s="80">
        <f t="shared" ref="E233:J233" si="98">C68*$C$233*E171</f>
        <v>0</v>
      </c>
      <c r="F233" s="80">
        <f t="shared" si="98"/>
        <v>0</v>
      </c>
      <c r="G233" s="80">
        <f t="shared" si="98"/>
        <v>0</v>
      </c>
      <c r="H233" s="80">
        <f t="shared" si="98"/>
        <v>0</v>
      </c>
      <c r="I233" s="80">
        <f t="shared" si="98"/>
        <v>0</v>
      </c>
      <c r="J233" s="80">
        <f t="shared" si="98"/>
        <v>0</v>
      </c>
      <c r="K233" s="73"/>
      <c r="L233" s="73"/>
    </row>
    <row r="234" spans="1:12" ht="15.75" customHeight="1">
      <c r="A234" s="269" t="str">
        <f t="shared" si="95"/>
        <v>Paddy/Rice</v>
      </c>
      <c r="B234" s="78" t="s">
        <v>571</v>
      </c>
      <c r="C234" s="79">
        <v>290</v>
      </c>
      <c r="D234" s="80">
        <f>B69*$C$234*D$171</f>
        <v>1258346.25</v>
      </c>
      <c r="E234" s="80">
        <f t="shared" ref="E234:J234" si="99">C69*$C$234*E171</f>
        <v>1415639.5312500002</v>
      </c>
      <c r="F234" s="80">
        <f t="shared" si="99"/>
        <v>1585516.2750000004</v>
      </c>
      <c r="G234" s="80">
        <f t="shared" si="99"/>
        <v>1768841.5942968752</v>
      </c>
      <c r="H234" s="80">
        <f t="shared" si="99"/>
        <v>1966535.6548359382</v>
      </c>
      <c r="I234" s="80">
        <f t="shared" si="99"/>
        <v>2179577.0174431638</v>
      </c>
      <c r="J234" s="80">
        <f t="shared" si="99"/>
        <v>2409006.1771740234</v>
      </c>
      <c r="K234" s="73"/>
      <c r="L234" s="73"/>
    </row>
    <row r="235" spans="1:12" ht="15.75" customHeight="1">
      <c r="A235" s="269" t="str">
        <f t="shared" si="95"/>
        <v>Green Gram/ Moong</v>
      </c>
      <c r="B235" s="78" t="s">
        <v>571</v>
      </c>
      <c r="C235" s="79">
        <v>0</v>
      </c>
      <c r="D235" s="80">
        <f t="shared" ref="D235:J235" si="100">B70*$C$235*D$171</f>
        <v>0</v>
      </c>
      <c r="E235" s="80">
        <f t="shared" si="100"/>
        <v>0</v>
      </c>
      <c r="F235" s="80">
        <f t="shared" si="100"/>
        <v>0</v>
      </c>
      <c r="G235" s="80">
        <f t="shared" si="100"/>
        <v>0</v>
      </c>
      <c r="H235" s="80">
        <f t="shared" si="100"/>
        <v>0</v>
      </c>
      <c r="I235" s="80">
        <f t="shared" si="100"/>
        <v>0</v>
      </c>
      <c r="J235" s="80">
        <f t="shared" si="100"/>
        <v>0</v>
      </c>
      <c r="K235" s="73"/>
      <c r="L235" s="73"/>
    </row>
    <row r="236" spans="1:12" ht="15.75" customHeight="1">
      <c r="A236" s="269" t="str">
        <f t="shared" si="95"/>
        <v>Maize</v>
      </c>
      <c r="B236" s="78" t="s">
        <v>571</v>
      </c>
      <c r="C236" s="79"/>
      <c r="D236" s="80">
        <f t="shared" ref="D236:J236" si="101">B71*$C$236*D$171</f>
        <v>0</v>
      </c>
      <c r="E236" s="80">
        <f t="shared" si="101"/>
        <v>0</v>
      </c>
      <c r="F236" s="80">
        <f t="shared" si="101"/>
        <v>0</v>
      </c>
      <c r="G236" s="80">
        <f t="shared" si="101"/>
        <v>0</v>
      </c>
      <c r="H236" s="80">
        <f t="shared" si="101"/>
        <v>0</v>
      </c>
      <c r="I236" s="80">
        <f t="shared" si="101"/>
        <v>0</v>
      </c>
      <c r="J236" s="80">
        <f t="shared" si="101"/>
        <v>0</v>
      </c>
      <c r="K236" s="73"/>
      <c r="L236" s="73"/>
    </row>
    <row r="237" spans="1:12" ht="15.75" customHeight="1">
      <c r="A237" s="269" t="str">
        <f t="shared" si="95"/>
        <v>Black Gram/Udid</v>
      </c>
      <c r="B237" s="78" t="s">
        <v>571</v>
      </c>
      <c r="C237" s="79">
        <v>0</v>
      </c>
      <c r="D237" s="80">
        <f t="shared" ref="D237:J237" si="102">B72*$C$237*D$171</f>
        <v>0</v>
      </c>
      <c r="E237" s="80">
        <f t="shared" si="102"/>
        <v>0</v>
      </c>
      <c r="F237" s="80">
        <f t="shared" si="102"/>
        <v>0</v>
      </c>
      <c r="G237" s="80">
        <f t="shared" si="102"/>
        <v>0</v>
      </c>
      <c r="H237" s="80">
        <f t="shared" si="102"/>
        <v>0</v>
      </c>
      <c r="I237" s="80">
        <f t="shared" si="102"/>
        <v>0</v>
      </c>
      <c r="J237" s="80">
        <f t="shared" si="102"/>
        <v>0</v>
      </c>
      <c r="K237" s="73"/>
      <c r="L237" s="73"/>
    </row>
    <row r="238" spans="1:12" ht="15.75" customHeight="1">
      <c r="A238" s="269" t="str">
        <f t="shared" si="95"/>
        <v>Bajra</v>
      </c>
      <c r="B238" s="78" t="s">
        <v>571</v>
      </c>
      <c r="C238" s="79">
        <v>0</v>
      </c>
      <c r="D238" s="80">
        <f t="shared" ref="D238:J238" si="103">B73*$C$238*D$171</f>
        <v>0</v>
      </c>
      <c r="E238" s="80">
        <f t="shared" si="103"/>
        <v>0</v>
      </c>
      <c r="F238" s="80">
        <f t="shared" si="103"/>
        <v>0</v>
      </c>
      <c r="G238" s="80">
        <f t="shared" si="103"/>
        <v>0</v>
      </c>
      <c r="H238" s="80">
        <f t="shared" si="103"/>
        <v>0</v>
      </c>
      <c r="I238" s="80">
        <f t="shared" si="103"/>
        <v>0</v>
      </c>
      <c r="J238" s="80">
        <f t="shared" si="103"/>
        <v>0</v>
      </c>
      <c r="K238" s="73"/>
      <c r="L238" s="73"/>
    </row>
    <row r="239" spans="1:12" ht="15.75" customHeight="1">
      <c r="A239" s="269" t="str">
        <f t="shared" si="95"/>
        <v>Jawar</v>
      </c>
      <c r="B239" s="78" t="s">
        <v>571</v>
      </c>
      <c r="C239" s="79"/>
      <c r="D239" s="80">
        <f t="shared" ref="D239:J239" si="104">B74*$C$239*D$171</f>
        <v>0</v>
      </c>
      <c r="E239" s="80">
        <f t="shared" si="104"/>
        <v>0</v>
      </c>
      <c r="F239" s="80">
        <f t="shared" si="104"/>
        <v>0</v>
      </c>
      <c r="G239" s="80">
        <f t="shared" si="104"/>
        <v>0</v>
      </c>
      <c r="H239" s="80">
        <f t="shared" si="104"/>
        <v>0</v>
      </c>
      <c r="I239" s="80">
        <f t="shared" si="104"/>
        <v>0</v>
      </c>
      <c r="J239" s="80">
        <f t="shared" si="104"/>
        <v>0</v>
      </c>
      <c r="K239" s="73"/>
      <c r="L239" s="73"/>
    </row>
    <row r="240" spans="1:12" ht="15.75" customHeight="1">
      <c r="A240" s="269" t="str">
        <f t="shared" si="95"/>
        <v>Sunflower</v>
      </c>
      <c r="B240" s="78" t="s">
        <v>571</v>
      </c>
      <c r="C240" s="79"/>
      <c r="D240" s="80">
        <f t="shared" ref="D240:J240" si="105">B75*$C$240*D$171</f>
        <v>0</v>
      </c>
      <c r="E240" s="80">
        <f t="shared" si="105"/>
        <v>0</v>
      </c>
      <c r="F240" s="80">
        <f t="shared" si="105"/>
        <v>0</v>
      </c>
      <c r="G240" s="80">
        <f t="shared" si="105"/>
        <v>0</v>
      </c>
      <c r="H240" s="80">
        <f t="shared" si="105"/>
        <v>0</v>
      </c>
      <c r="I240" s="80">
        <f t="shared" si="105"/>
        <v>0</v>
      </c>
      <c r="J240" s="80">
        <f t="shared" si="105"/>
        <v>0</v>
      </c>
      <c r="K240" s="73"/>
      <c r="L240" s="73"/>
    </row>
    <row r="241" spans="1:12" ht="15.75" customHeight="1">
      <c r="A241" s="269" t="str">
        <f t="shared" si="95"/>
        <v>Wheat</v>
      </c>
      <c r="B241" s="78" t="s">
        <v>571</v>
      </c>
      <c r="C241" s="79">
        <v>0</v>
      </c>
      <c r="D241" s="80">
        <f t="shared" ref="D241:J241" si="106">B76*$C$241*D$171</f>
        <v>0</v>
      </c>
      <c r="E241" s="80">
        <f t="shared" si="106"/>
        <v>0</v>
      </c>
      <c r="F241" s="80">
        <f t="shared" si="106"/>
        <v>0</v>
      </c>
      <c r="G241" s="80">
        <f t="shared" si="106"/>
        <v>0</v>
      </c>
      <c r="H241" s="80">
        <f t="shared" si="106"/>
        <v>0</v>
      </c>
      <c r="I241" s="80">
        <f t="shared" si="106"/>
        <v>0</v>
      </c>
      <c r="J241" s="80">
        <f t="shared" si="106"/>
        <v>0</v>
      </c>
      <c r="K241" s="73"/>
      <c r="L241" s="73"/>
    </row>
    <row r="242" spans="1:12" ht="15.75" customHeight="1">
      <c r="A242" s="269" t="str">
        <f t="shared" si="95"/>
        <v>Bengal Gram/Channa</v>
      </c>
      <c r="B242" s="78" t="s">
        <v>571</v>
      </c>
      <c r="C242" s="79">
        <v>0</v>
      </c>
      <c r="D242" s="80">
        <f t="shared" ref="D242:J242" si="107">B77*$C$242*D$171</f>
        <v>0</v>
      </c>
      <c r="E242" s="80">
        <f t="shared" si="107"/>
        <v>0</v>
      </c>
      <c r="F242" s="80">
        <f t="shared" si="107"/>
        <v>0</v>
      </c>
      <c r="G242" s="80">
        <f t="shared" si="107"/>
        <v>0</v>
      </c>
      <c r="H242" s="80">
        <f t="shared" si="107"/>
        <v>0</v>
      </c>
      <c r="I242" s="80">
        <f t="shared" si="107"/>
        <v>0</v>
      </c>
      <c r="J242" s="80">
        <f t="shared" si="107"/>
        <v>0</v>
      </c>
      <c r="K242" s="73"/>
      <c r="L242" s="73"/>
    </row>
    <row r="243" spans="1:12" ht="15.75" customHeight="1">
      <c r="A243" s="269" t="str">
        <f t="shared" si="95"/>
        <v>Jawar</v>
      </c>
      <c r="B243" s="78" t="s">
        <v>571</v>
      </c>
      <c r="C243" s="79"/>
      <c r="D243" s="80">
        <f t="shared" ref="D243:J243" si="108">B78*$C$243*D$171</f>
        <v>0</v>
      </c>
      <c r="E243" s="80">
        <f t="shared" si="108"/>
        <v>0</v>
      </c>
      <c r="F243" s="80">
        <f t="shared" si="108"/>
        <v>0</v>
      </c>
      <c r="G243" s="80">
        <f t="shared" si="108"/>
        <v>0</v>
      </c>
      <c r="H243" s="80">
        <f t="shared" si="108"/>
        <v>0</v>
      </c>
      <c r="I243" s="80">
        <f t="shared" si="108"/>
        <v>0</v>
      </c>
      <c r="J243" s="80">
        <f t="shared" si="108"/>
        <v>0</v>
      </c>
      <c r="K243" s="73"/>
      <c r="L243" s="73"/>
    </row>
    <row r="244" spans="1:12" ht="15.75" customHeight="1">
      <c r="A244" s="269" t="str">
        <f t="shared" si="95"/>
        <v>Maize</v>
      </c>
      <c r="B244" s="78" t="s">
        <v>571</v>
      </c>
      <c r="C244" s="79"/>
      <c r="D244" s="80">
        <f t="shared" ref="D244:J244" si="109">B79*$C$244*D$171</f>
        <v>0</v>
      </c>
      <c r="E244" s="80">
        <f t="shared" si="109"/>
        <v>0</v>
      </c>
      <c r="F244" s="80">
        <f t="shared" si="109"/>
        <v>0</v>
      </c>
      <c r="G244" s="80">
        <f t="shared" si="109"/>
        <v>0</v>
      </c>
      <c r="H244" s="80">
        <f t="shared" si="109"/>
        <v>0</v>
      </c>
      <c r="I244" s="80">
        <f t="shared" si="109"/>
        <v>0</v>
      </c>
      <c r="J244" s="80">
        <f t="shared" si="109"/>
        <v>0</v>
      </c>
      <c r="K244" s="73"/>
      <c r="L244" s="73"/>
    </row>
    <row r="245" spans="1:12" ht="15.75" customHeight="1">
      <c r="A245" s="269" t="str">
        <f t="shared" si="95"/>
        <v>Safflower</v>
      </c>
      <c r="B245" s="78" t="s">
        <v>571</v>
      </c>
      <c r="C245" s="79"/>
      <c r="D245" s="80">
        <f t="shared" ref="D245:J245" si="110">B80*$C$245*D$171</f>
        <v>0</v>
      </c>
      <c r="E245" s="80">
        <f t="shared" si="110"/>
        <v>0</v>
      </c>
      <c r="F245" s="80">
        <f t="shared" si="110"/>
        <v>0</v>
      </c>
      <c r="G245" s="80">
        <f t="shared" si="110"/>
        <v>0</v>
      </c>
      <c r="H245" s="80">
        <f t="shared" si="110"/>
        <v>0</v>
      </c>
      <c r="I245" s="80">
        <f t="shared" si="110"/>
        <v>0</v>
      </c>
      <c r="J245" s="80">
        <f t="shared" si="110"/>
        <v>0</v>
      </c>
      <c r="K245" s="73"/>
      <c r="L245" s="73"/>
    </row>
    <row r="246" spans="1:12" ht="15.75" customHeight="1">
      <c r="A246" s="269">
        <f t="shared" si="95"/>
        <v>0</v>
      </c>
      <c r="B246" s="78" t="s">
        <v>571</v>
      </c>
      <c r="C246" s="79"/>
      <c r="D246" s="80">
        <f t="shared" ref="D246:J246" si="111">B81*$C$246*D$171</f>
        <v>0</v>
      </c>
      <c r="E246" s="80">
        <f t="shared" si="111"/>
        <v>0</v>
      </c>
      <c r="F246" s="80">
        <f t="shared" si="111"/>
        <v>0</v>
      </c>
      <c r="G246" s="80">
        <f t="shared" si="111"/>
        <v>0</v>
      </c>
      <c r="H246" s="80">
        <f t="shared" si="111"/>
        <v>0</v>
      </c>
      <c r="I246" s="80">
        <f t="shared" si="111"/>
        <v>0</v>
      </c>
      <c r="J246" s="80">
        <f t="shared" si="111"/>
        <v>0</v>
      </c>
      <c r="K246" s="73"/>
      <c r="L246" s="73"/>
    </row>
    <row r="247" spans="1:12" ht="15.75" customHeight="1">
      <c r="A247" s="269">
        <f t="shared" si="95"/>
        <v>0</v>
      </c>
      <c r="B247" s="78" t="s">
        <v>571</v>
      </c>
      <c r="C247" s="79"/>
      <c r="D247" s="80">
        <f t="shared" ref="D247:J247" si="112">B82*$C$247*D$171</f>
        <v>0</v>
      </c>
      <c r="E247" s="80">
        <f t="shared" si="112"/>
        <v>0</v>
      </c>
      <c r="F247" s="80">
        <f t="shared" si="112"/>
        <v>0</v>
      </c>
      <c r="G247" s="80">
        <f t="shared" si="112"/>
        <v>0</v>
      </c>
      <c r="H247" s="80">
        <f t="shared" si="112"/>
        <v>0</v>
      </c>
      <c r="I247" s="80">
        <f t="shared" si="112"/>
        <v>0</v>
      </c>
      <c r="J247" s="80">
        <f t="shared" si="112"/>
        <v>0</v>
      </c>
      <c r="K247" s="73"/>
      <c r="L247" s="73"/>
    </row>
    <row r="248" spans="1:12" ht="15.75" customHeight="1">
      <c r="A248" s="269">
        <f t="shared" si="95"/>
        <v>0</v>
      </c>
      <c r="B248" s="78" t="s">
        <v>571</v>
      </c>
      <c r="C248" s="79"/>
      <c r="D248" s="80">
        <f t="shared" ref="D248:J248" si="113">B83*$C248*D$171</f>
        <v>0</v>
      </c>
      <c r="E248" s="80">
        <f t="shared" si="113"/>
        <v>0</v>
      </c>
      <c r="F248" s="80">
        <f t="shared" si="113"/>
        <v>0</v>
      </c>
      <c r="G248" s="80">
        <f t="shared" si="113"/>
        <v>0</v>
      </c>
      <c r="H248" s="80">
        <f t="shared" si="113"/>
        <v>0</v>
      </c>
      <c r="I248" s="80">
        <f t="shared" si="113"/>
        <v>0</v>
      </c>
      <c r="J248" s="80">
        <f t="shared" si="113"/>
        <v>0</v>
      </c>
      <c r="K248" s="73"/>
      <c r="L248" s="73"/>
    </row>
    <row r="249" spans="1:12" ht="15.75" customHeight="1">
      <c r="A249" s="269" t="str">
        <f t="shared" si="95"/>
        <v>Groundnut</v>
      </c>
      <c r="B249" s="78" t="s">
        <v>571</v>
      </c>
      <c r="C249" s="79"/>
      <c r="D249" s="80">
        <f t="shared" ref="D249:J249" si="114">B84*$C249*D$171</f>
        <v>0</v>
      </c>
      <c r="E249" s="80">
        <f t="shared" si="114"/>
        <v>0</v>
      </c>
      <c r="F249" s="80">
        <f t="shared" si="114"/>
        <v>0</v>
      </c>
      <c r="G249" s="80">
        <f t="shared" si="114"/>
        <v>0</v>
      </c>
      <c r="H249" s="80">
        <f t="shared" si="114"/>
        <v>0</v>
      </c>
      <c r="I249" s="80">
        <f t="shared" si="114"/>
        <v>0</v>
      </c>
      <c r="J249" s="80">
        <f t="shared" si="114"/>
        <v>0</v>
      </c>
      <c r="K249" s="73"/>
      <c r="L249" s="73"/>
    </row>
    <row r="250" spans="1:12" ht="15.75" customHeight="1">
      <c r="A250" s="269">
        <f t="shared" si="95"/>
        <v>0</v>
      </c>
      <c r="B250" s="78" t="s">
        <v>571</v>
      </c>
      <c r="C250" s="79"/>
      <c r="D250" s="80">
        <f t="shared" ref="D250:J250" si="115">B85*$C250*D$171</f>
        <v>0</v>
      </c>
      <c r="E250" s="80">
        <f t="shared" si="115"/>
        <v>0</v>
      </c>
      <c r="F250" s="80">
        <f t="shared" si="115"/>
        <v>0</v>
      </c>
      <c r="G250" s="80">
        <f t="shared" si="115"/>
        <v>0</v>
      </c>
      <c r="H250" s="80">
        <f t="shared" si="115"/>
        <v>0</v>
      </c>
      <c r="I250" s="80">
        <f t="shared" si="115"/>
        <v>0</v>
      </c>
      <c r="J250" s="80">
        <f t="shared" si="115"/>
        <v>0</v>
      </c>
      <c r="K250" s="73"/>
      <c r="L250" s="73"/>
    </row>
    <row r="251" spans="1:12" ht="15.75" customHeight="1">
      <c r="A251" s="269">
        <f t="shared" si="95"/>
        <v>0</v>
      </c>
      <c r="B251" s="78" t="s">
        <v>571</v>
      </c>
      <c r="C251" s="79"/>
      <c r="D251" s="80">
        <f t="shared" ref="D251:J251" si="116">B86*$C251*D$171</f>
        <v>0</v>
      </c>
      <c r="E251" s="80">
        <f t="shared" si="116"/>
        <v>0</v>
      </c>
      <c r="F251" s="80">
        <f t="shared" si="116"/>
        <v>0</v>
      </c>
      <c r="G251" s="80">
        <f t="shared" si="116"/>
        <v>0</v>
      </c>
      <c r="H251" s="80">
        <f t="shared" si="116"/>
        <v>0</v>
      </c>
      <c r="I251" s="80">
        <f t="shared" si="116"/>
        <v>0</v>
      </c>
      <c r="J251" s="80">
        <f t="shared" si="116"/>
        <v>0</v>
      </c>
      <c r="K251" s="73"/>
      <c r="L251" s="73"/>
    </row>
    <row r="252" spans="1:12" ht="15.75" customHeight="1">
      <c r="A252" s="269">
        <f t="shared" si="95"/>
        <v>0</v>
      </c>
      <c r="B252" s="78" t="s">
        <v>571</v>
      </c>
      <c r="C252" s="79"/>
      <c r="D252" s="80">
        <f t="shared" ref="D252:J252" si="117">B87*$C252*D$171</f>
        <v>0</v>
      </c>
      <c r="E252" s="80">
        <f t="shared" si="117"/>
        <v>0</v>
      </c>
      <c r="F252" s="80">
        <f t="shared" si="117"/>
        <v>0</v>
      </c>
      <c r="G252" s="80">
        <f t="shared" si="117"/>
        <v>0</v>
      </c>
      <c r="H252" s="80">
        <f t="shared" si="117"/>
        <v>0</v>
      </c>
      <c r="I252" s="80">
        <f t="shared" si="117"/>
        <v>0</v>
      </c>
      <c r="J252" s="80">
        <f t="shared" si="117"/>
        <v>0</v>
      </c>
      <c r="K252" s="73"/>
      <c r="L252" s="73"/>
    </row>
    <row r="253" spans="1:12" ht="15.75" customHeight="1">
      <c r="A253" s="78">
        <f t="shared" si="95"/>
        <v>0</v>
      </c>
      <c r="B253" s="78" t="s">
        <v>571</v>
      </c>
      <c r="C253" s="79"/>
      <c r="D253" s="80">
        <f t="shared" ref="D253:J253" si="118">B88*$C253*D$171</f>
        <v>0</v>
      </c>
      <c r="E253" s="80">
        <f t="shared" si="118"/>
        <v>0</v>
      </c>
      <c r="F253" s="80">
        <f t="shared" si="118"/>
        <v>0</v>
      </c>
      <c r="G253" s="80">
        <f t="shared" si="118"/>
        <v>0</v>
      </c>
      <c r="H253" s="80">
        <f t="shared" si="118"/>
        <v>0</v>
      </c>
      <c r="I253" s="80">
        <f t="shared" si="118"/>
        <v>0</v>
      </c>
      <c r="J253" s="80">
        <f t="shared" si="118"/>
        <v>0</v>
      </c>
      <c r="K253" s="73"/>
      <c r="L253" s="73"/>
    </row>
    <row r="254" spans="1:12" ht="15.75" customHeight="1">
      <c r="A254" s="78">
        <f t="shared" ref="A254:A273" si="119">A200</f>
        <v>0</v>
      </c>
      <c r="B254" s="78"/>
      <c r="C254" s="79"/>
      <c r="D254" s="80">
        <f t="shared" ref="D254:J254" si="120">B89*$C254*D$171</f>
        <v>0</v>
      </c>
      <c r="E254" s="80">
        <f t="shared" si="120"/>
        <v>0</v>
      </c>
      <c r="F254" s="80">
        <f t="shared" si="120"/>
        <v>0</v>
      </c>
      <c r="G254" s="80">
        <f t="shared" si="120"/>
        <v>0</v>
      </c>
      <c r="H254" s="80">
        <f t="shared" si="120"/>
        <v>0</v>
      </c>
      <c r="I254" s="80">
        <f t="shared" si="120"/>
        <v>0</v>
      </c>
      <c r="J254" s="80">
        <f t="shared" si="120"/>
        <v>0</v>
      </c>
      <c r="K254" s="73"/>
      <c r="L254" s="73"/>
    </row>
    <row r="255" spans="1:12" ht="15.75" customHeight="1">
      <c r="A255" s="265" t="str">
        <f t="shared" si="119"/>
        <v>Fruit  &amp; Vegetables Crop Production Details</v>
      </c>
      <c r="B255" s="78"/>
      <c r="C255" s="79"/>
      <c r="D255" s="80"/>
      <c r="E255" s="80"/>
      <c r="F255" s="80"/>
      <c r="G255" s="80"/>
      <c r="H255" s="80"/>
      <c r="I255" s="80"/>
      <c r="J255" s="80"/>
      <c r="K255" s="73"/>
      <c r="L255" s="73"/>
    </row>
    <row r="256" spans="1:12" ht="15.75" customHeight="1">
      <c r="A256" s="269" t="str">
        <f t="shared" si="119"/>
        <v>Onion</v>
      </c>
      <c r="B256" s="78" t="s">
        <v>571</v>
      </c>
      <c r="C256" s="79">
        <v>0</v>
      </c>
      <c r="D256" s="80">
        <f t="shared" ref="D256:J256" si="121">B91*$C256*D$171</f>
        <v>0</v>
      </c>
      <c r="E256" s="80">
        <f t="shared" si="121"/>
        <v>0</v>
      </c>
      <c r="F256" s="80">
        <f t="shared" si="121"/>
        <v>0</v>
      </c>
      <c r="G256" s="80">
        <f t="shared" si="121"/>
        <v>0</v>
      </c>
      <c r="H256" s="80">
        <f t="shared" si="121"/>
        <v>0</v>
      </c>
      <c r="I256" s="80">
        <f t="shared" si="121"/>
        <v>0</v>
      </c>
      <c r="J256" s="80">
        <f t="shared" si="121"/>
        <v>0</v>
      </c>
      <c r="K256" s="73"/>
      <c r="L256" s="73"/>
    </row>
    <row r="257" spans="1:12" ht="15.75" customHeight="1">
      <c r="A257" s="269" t="str">
        <f t="shared" si="119"/>
        <v>Tomato</v>
      </c>
      <c r="B257" s="78" t="s">
        <v>571</v>
      </c>
      <c r="C257" s="79">
        <v>0</v>
      </c>
      <c r="D257" s="80">
        <f t="shared" ref="D257:J257" si="122">B92*$C257*D$171</f>
        <v>0</v>
      </c>
      <c r="E257" s="80">
        <f t="shared" si="122"/>
        <v>0</v>
      </c>
      <c r="F257" s="80">
        <f t="shared" si="122"/>
        <v>0</v>
      </c>
      <c r="G257" s="80">
        <f t="shared" si="122"/>
        <v>0</v>
      </c>
      <c r="H257" s="80">
        <f t="shared" si="122"/>
        <v>0</v>
      </c>
      <c r="I257" s="80">
        <f t="shared" si="122"/>
        <v>0</v>
      </c>
      <c r="J257" s="80">
        <f t="shared" si="122"/>
        <v>0</v>
      </c>
      <c r="K257" s="73"/>
      <c r="L257" s="73"/>
    </row>
    <row r="258" spans="1:12" ht="15.75" customHeight="1">
      <c r="A258" s="269" t="str">
        <f t="shared" si="119"/>
        <v>Okra</v>
      </c>
      <c r="B258" s="78" t="s">
        <v>571</v>
      </c>
      <c r="C258" s="79">
        <v>0</v>
      </c>
      <c r="D258" s="80">
        <f t="shared" ref="D258:J258" si="123">B93*$C258*D$171</f>
        <v>0</v>
      </c>
      <c r="E258" s="80">
        <f t="shared" si="123"/>
        <v>0</v>
      </c>
      <c r="F258" s="80">
        <f t="shared" si="123"/>
        <v>0</v>
      </c>
      <c r="G258" s="80">
        <f t="shared" si="123"/>
        <v>0</v>
      </c>
      <c r="H258" s="80">
        <f t="shared" si="123"/>
        <v>0</v>
      </c>
      <c r="I258" s="80">
        <f t="shared" si="123"/>
        <v>0</v>
      </c>
      <c r="J258" s="80">
        <f t="shared" si="123"/>
        <v>0</v>
      </c>
      <c r="K258" s="73"/>
      <c r="L258" s="73"/>
    </row>
    <row r="259" spans="1:12" ht="15.75" customHeight="1">
      <c r="A259" s="269" t="str">
        <f t="shared" si="119"/>
        <v>Chilli</v>
      </c>
      <c r="B259" s="78" t="s">
        <v>571</v>
      </c>
      <c r="C259" s="79">
        <v>0</v>
      </c>
      <c r="D259" s="80">
        <f t="shared" ref="D259:J259" si="124">B94*$C259*D$171</f>
        <v>0</v>
      </c>
      <c r="E259" s="80">
        <f t="shared" si="124"/>
        <v>0</v>
      </c>
      <c r="F259" s="80">
        <f t="shared" si="124"/>
        <v>0</v>
      </c>
      <c r="G259" s="80">
        <f t="shared" si="124"/>
        <v>0</v>
      </c>
      <c r="H259" s="80">
        <f t="shared" si="124"/>
        <v>0</v>
      </c>
      <c r="I259" s="80">
        <f t="shared" si="124"/>
        <v>0</v>
      </c>
      <c r="J259" s="80">
        <f t="shared" si="124"/>
        <v>0</v>
      </c>
      <c r="K259" s="73"/>
      <c r="L259" s="73"/>
    </row>
    <row r="260" spans="1:12" ht="15.75" customHeight="1">
      <c r="A260" s="269" t="str">
        <f t="shared" si="119"/>
        <v>Potato</v>
      </c>
      <c r="B260" s="78" t="s">
        <v>571</v>
      </c>
      <c r="C260" s="79">
        <v>0</v>
      </c>
      <c r="D260" s="80">
        <f t="shared" ref="D260:J260" si="125">B95*$C260*D$171</f>
        <v>0</v>
      </c>
      <c r="E260" s="80">
        <f t="shared" si="125"/>
        <v>0</v>
      </c>
      <c r="F260" s="80">
        <f t="shared" si="125"/>
        <v>0</v>
      </c>
      <c r="G260" s="80">
        <f t="shared" si="125"/>
        <v>0</v>
      </c>
      <c r="H260" s="80">
        <f t="shared" si="125"/>
        <v>0</v>
      </c>
      <c r="I260" s="80">
        <f t="shared" si="125"/>
        <v>0</v>
      </c>
      <c r="J260" s="80">
        <f t="shared" si="125"/>
        <v>0</v>
      </c>
      <c r="K260" s="73"/>
      <c r="L260" s="73"/>
    </row>
    <row r="261" spans="1:12" ht="15.75" customHeight="1">
      <c r="A261" s="269">
        <f t="shared" si="119"/>
        <v>0</v>
      </c>
      <c r="B261" s="78" t="s">
        <v>571</v>
      </c>
      <c r="C261" s="79">
        <v>0</v>
      </c>
      <c r="D261" s="80">
        <f t="shared" ref="D261:J261" si="126">B96*$C261*D$171</f>
        <v>0</v>
      </c>
      <c r="E261" s="80">
        <f t="shared" si="126"/>
        <v>0</v>
      </c>
      <c r="F261" s="80">
        <f t="shared" si="126"/>
        <v>0</v>
      </c>
      <c r="G261" s="80">
        <f t="shared" si="126"/>
        <v>0</v>
      </c>
      <c r="H261" s="80">
        <f t="shared" si="126"/>
        <v>0</v>
      </c>
      <c r="I261" s="80">
        <f t="shared" si="126"/>
        <v>0</v>
      </c>
      <c r="J261" s="80">
        <f t="shared" si="126"/>
        <v>0</v>
      </c>
      <c r="K261" s="73"/>
      <c r="L261" s="73"/>
    </row>
    <row r="262" spans="1:12" ht="15.75" customHeight="1">
      <c r="A262" s="269">
        <f t="shared" si="119"/>
        <v>0</v>
      </c>
      <c r="B262" s="78" t="s">
        <v>571</v>
      </c>
      <c r="C262" s="79">
        <v>0</v>
      </c>
      <c r="D262" s="80">
        <f t="shared" ref="D262:J262" si="127">B97*$C262*D$171</f>
        <v>0</v>
      </c>
      <c r="E262" s="80">
        <f t="shared" si="127"/>
        <v>0</v>
      </c>
      <c r="F262" s="80">
        <f t="shared" si="127"/>
        <v>0</v>
      </c>
      <c r="G262" s="80">
        <f t="shared" si="127"/>
        <v>0</v>
      </c>
      <c r="H262" s="80">
        <f t="shared" si="127"/>
        <v>0</v>
      </c>
      <c r="I262" s="80">
        <f t="shared" si="127"/>
        <v>0</v>
      </c>
      <c r="J262" s="80">
        <f t="shared" si="127"/>
        <v>0</v>
      </c>
      <c r="K262" s="73"/>
      <c r="L262" s="73"/>
    </row>
    <row r="263" spans="1:12" ht="15.75" customHeight="1">
      <c r="A263" s="269">
        <f t="shared" si="119"/>
        <v>0</v>
      </c>
      <c r="B263" s="78" t="s">
        <v>571</v>
      </c>
      <c r="C263" s="79">
        <v>0</v>
      </c>
      <c r="D263" s="80">
        <f t="shared" ref="D263:J263" si="128">B98*$C263*D$171</f>
        <v>0</v>
      </c>
      <c r="E263" s="80">
        <f t="shared" si="128"/>
        <v>0</v>
      </c>
      <c r="F263" s="80">
        <f t="shared" si="128"/>
        <v>0</v>
      </c>
      <c r="G263" s="80">
        <f t="shared" si="128"/>
        <v>0</v>
      </c>
      <c r="H263" s="80">
        <f t="shared" si="128"/>
        <v>0</v>
      </c>
      <c r="I263" s="80">
        <f t="shared" si="128"/>
        <v>0</v>
      </c>
      <c r="J263" s="80">
        <f t="shared" si="128"/>
        <v>0</v>
      </c>
      <c r="K263" s="73"/>
      <c r="L263" s="73"/>
    </row>
    <row r="264" spans="1:12" ht="15.75" customHeight="1">
      <c r="A264" s="269">
        <f t="shared" si="119"/>
        <v>0</v>
      </c>
      <c r="B264" s="78" t="s">
        <v>571</v>
      </c>
      <c r="C264" s="79">
        <v>0</v>
      </c>
      <c r="D264" s="80">
        <f t="shared" ref="D264:J264" si="129">B99*$C264*D$171</f>
        <v>0</v>
      </c>
      <c r="E264" s="80">
        <f t="shared" si="129"/>
        <v>0</v>
      </c>
      <c r="F264" s="80">
        <f t="shared" si="129"/>
        <v>0</v>
      </c>
      <c r="G264" s="80">
        <f t="shared" si="129"/>
        <v>0</v>
      </c>
      <c r="H264" s="80">
        <f t="shared" si="129"/>
        <v>0</v>
      </c>
      <c r="I264" s="80">
        <f t="shared" si="129"/>
        <v>0</v>
      </c>
      <c r="J264" s="80">
        <f t="shared" si="129"/>
        <v>0</v>
      </c>
      <c r="K264" s="73"/>
      <c r="L264" s="73"/>
    </row>
    <row r="265" spans="1:12" ht="15.75" customHeight="1">
      <c r="A265" s="269" t="str">
        <f t="shared" si="119"/>
        <v>Onion</v>
      </c>
      <c r="B265" s="78" t="s">
        <v>571</v>
      </c>
      <c r="C265" s="79">
        <v>0</v>
      </c>
      <c r="D265" s="80">
        <f t="shared" ref="D265:J265" si="130">B100*$C265*D$171</f>
        <v>0</v>
      </c>
      <c r="E265" s="80">
        <f t="shared" si="130"/>
        <v>0</v>
      </c>
      <c r="F265" s="80">
        <f t="shared" si="130"/>
        <v>0</v>
      </c>
      <c r="G265" s="80">
        <f t="shared" si="130"/>
        <v>0</v>
      </c>
      <c r="H265" s="80">
        <f t="shared" si="130"/>
        <v>0</v>
      </c>
      <c r="I265" s="80">
        <f t="shared" si="130"/>
        <v>0</v>
      </c>
      <c r="J265" s="80">
        <f t="shared" si="130"/>
        <v>0</v>
      </c>
      <c r="K265" s="73"/>
      <c r="L265" s="73"/>
    </row>
    <row r="266" spans="1:12" ht="15.75" customHeight="1">
      <c r="A266" s="269" t="str">
        <f t="shared" si="119"/>
        <v>Tomato</v>
      </c>
      <c r="B266" s="78" t="s">
        <v>571</v>
      </c>
      <c r="C266" s="79">
        <v>0</v>
      </c>
      <c r="D266" s="80">
        <f t="shared" ref="D266:J266" si="131">B101*$C266*D$171</f>
        <v>0</v>
      </c>
      <c r="E266" s="80">
        <f t="shared" si="131"/>
        <v>0</v>
      </c>
      <c r="F266" s="80">
        <f t="shared" si="131"/>
        <v>0</v>
      </c>
      <c r="G266" s="80">
        <f t="shared" si="131"/>
        <v>0</v>
      </c>
      <c r="H266" s="80">
        <f t="shared" si="131"/>
        <v>0</v>
      </c>
      <c r="I266" s="80">
        <f t="shared" si="131"/>
        <v>0</v>
      </c>
      <c r="J266" s="80">
        <f t="shared" si="131"/>
        <v>0</v>
      </c>
      <c r="K266" s="73"/>
      <c r="L266" s="73"/>
    </row>
    <row r="267" spans="1:12" ht="15.75" customHeight="1">
      <c r="A267" s="269" t="str">
        <f t="shared" si="119"/>
        <v>Okra</v>
      </c>
      <c r="B267" s="78" t="s">
        <v>571</v>
      </c>
      <c r="C267" s="79">
        <v>0</v>
      </c>
      <c r="D267" s="80">
        <f t="shared" ref="D267:J267" si="132">B102*$C267*D$171</f>
        <v>0</v>
      </c>
      <c r="E267" s="80">
        <f t="shared" si="132"/>
        <v>0</v>
      </c>
      <c r="F267" s="80">
        <f t="shared" si="132"/>
        <v>0</v>
      </c>
      <c r="G267" s="80">
        <f t="shared" si="132"/>
        <v>0</v>
      </c>
      <c r="H267" s="80">
        <f t="shared" si="132"/>
        <v>0</v>
      </c>
      <c r="I267" s="80">
        <f t="shared" si="132"/>
        <v>0</v>
      </c>
      <c r="J267" s="80">
        <f t="shared" si="132"/>
        <v>0</v>
      </c>
      <c r="K267" s="73"/>
      <c r="L267" s="73"/>
    </row>
    <row r="268" spans="1:12" ht="15.75" customHeight="1">
      <c r="A268" s="269" t="str">
        <f t="shared" si="119"/>
        <v>Chilli</v>
      </c>
      <c r="B268" s="78" t="s">
        <v>571</v>
      </c>
      <c r="C268" s="79">
        <v>0</v>
      </c>
      <c r="D268" s="80">
        <f t="shared" ref="D268:J268" si="133">B103*$C268*D$171</f>
        <v>0</v>
      </c>
      <c r="E268" s="80">
        <f t="shared" si="133"/>
        <v>0</v>
      </c>
      <c r="F268" s="80">
        <f t="shared" si="133"/>
        <v>0</v>
      </c>
      <c r="G268" s="80">
        <f t="shared" si="133"/>
        <v>0</v>
      </c>
      <c r="H268" s="80">
        <f t="shared" si="133"/>
        <v>0</v>
      </c>
      <c r="I268" s="80">
        <f t="shared" si="133"/>
        <v>0</v>
      </c>
      <c r="J268" s="80">
        <f t="shared" si="133"/>
        <v>0</v>
      </c>
      <c r="K268" s="73"/>
      <c r="L268" s="73"/>
    </row>
    <row r="269" spans="1:12" ht="15.75" customHeight="1">
      <c r="A269" s="269" t="str">
        <f t="shared" si="119"/>
        <v>Brinjal</v>
      </c>
      <c r="B269" s="78" t="s">
        <v>571</v>
      </c>
      <c r="C269" s="79">
        <v>0</v>
      </c>
      <c r="D269" s="80">
        <f t="shared" ref="D269:J269" si="134">B104*$C269*D$171</f>
        <v>0</v>
      </c>
      <c r="E269" s="80">
        <f t="shared" si="134"/>
        <v>0</v>
      </c>
      <c r="F269" s="80">
        <f t="shared" si="134"/>
        <v>0</v>
      </c>
      <c r="G269" s="80">
        <f t="shared" si="134"/>
        <v>0</v>
      </c>
      <c r="H269" s="80">
        <f t="shared" si="134"/>
        <v>0</v>
      </c>
      <c r="I269" s="80">
        <f t="shared" si="134"/>
        <v>0</v>
      </c>
      <c r="J269" s="80">
        <f t="shared" si="134"/>
        <v>0</v>
      </c>
      <c r="K269" s="73"/>
      <c r="L269" s="73"/>
    </row>
    <row r="270" spans="1:12" ht="15.75" customHeight="1">
      <c r="A270" s="269">
        <f t="shared" si="119"/>
        <v>0</v>
      </c>
      <c r="B270" s="78" t="s">
        <v>571</v>
      </c>
      <c r="C270" s="79">
        <v>0</v>
      </c>
      <c r="D270" s="80">
        <f t="shared" ref="D270:J270" si="135">B105*$C270*D$171</f>
        <v>0</v>
      </c>
      <c r="E270" s="80">
        <f t="shared" si="135"/>
        <v>0</v>
      </c>
      <c r="F270" s="80">
        <f t="shared" si="135"/>
        <v>0</v>
      </c>
      <c r="G270" s="80">
        <f t="shared" si="135"/>
        <v>0</v>
      </c>
      <c r="H270" s="80">
        <f t="shared" si="135"/>
        <v>0</v>
      </c>
      <c r="I270" s="80">
        <f t="shared" si="135"/>
        <v>0</v>
      </c>
      <c r="J270" s="80">
        <f t="shared" si="135"/>
        <v>0</v>
      </c>
      <c r="K270" s="73"/>
      <c r="L270" s="73"/>
    </row>
    <row r="271" spans="1:12" ht="15.75" customHeight="1">
      <c r="A271" s="269">
        <f t="shared" si="119"/>
        <v>0</v>
      </c>
      <c r="B271" s="78" t="s">
        <v>571</v>
      </c>
      <c r="C271" s="79">
        <v>0</v>
      </c>
      <c r="D271" s="80">
        <f t="shared" ref="D271:J271" si="136">B106*$C271*D$171</f>
        <v>0</v>
      </c>
      <c r="E271" s="80">
        <f t="shared" si="136"/>
        <v>0</v>
      </c>
      <c r="F271" s="80">
        <f t="shared" si="136"/>
        <v>0</v>
      </c>
      <c r="G271" s="80">
        <f t="shared" si="136"/>
        <v>0</v>
      </c>
      <c r="H271" s="80">
        <f t="shared" si="136"/>
        <v>0</v>
      </c>
      <c r="I271" s="80">
        <f t="shared" si="136"/>
        <v>0</v>
      </c>
      <c r="J271" s="80">
        <f t="shared" si="136"/>
        <v>0</v>
      </c>
      <c r="K271" s="73"/>
      <c r="L271" s="73"/>
    </row>
    <row r="272" spans="1:12" ht="15.75" customHeight="1">
      <c r="A272" s="269">
        <f t="shared" si="119"/>
        <v>0</v>
      </c>
      <c r="B272" s="78" t="s">
        <v>571</v>
      </c>
      <c r="C272" s="79">
        <v>0</v>
      </c>
      <c r="D272" s="80">
        <f t="shared" ref="D272:J272" si="137">B107*$C272*D$171</f>
        <v>0</v>
      </c>
      <c r="E272" s="80">
        <f t="shared" si="137"/>
        <v>0</v>
      </c>
      <c r="F272" s="80">
        <f t="shared" si="137"/>
        <v>0</v>
      </c>
      <c r="G272" s="80">
        <f t="shared" si="137"/>
        <v>0</v>
      </c>
      <c r="H272" s="80">
        <f t="shared" si="137"/>
        <v>0</v>
      </c>
      <c r="I272" s="80">
        <f t="shared" si="137"/>
        <v>0</v>
      </c>
      <c r="J272" s="80">
        <f t="shared" si="137"/>
        <v>0</v>
      </c>
      <c r="K272" s="73"/>
      <c r="L272" s="73"/>
    </row>
    <row r="273" spans="1:12" ht="15.75" customHeight="1">
      <c r="A273" s="269">
        <f t="shared" si="119"/>
        <v>0</v>
      </c>
      <c r="B273" s="78" t="s">
        <v>571</v>
      </c>
      <c r="C273" s="79">
        <v>0</v>
      </c>
      <c r="D273" s="80">
        <f t="shared" ref="D273:J273" si="138">B108*$C273*D$171</f>
        <v>0</v>
      </c>
      <c r="E273" s="80">
        <f t="shared" si="138"/>
        <v>0</v>
      </c>
      <c r="F273" s="80">
        <f t="shared" si="138"/>
        <v>0</v>
      </c>
      <c r="G273" s="80">
        <f t="shared" si="138"/>
        <v>0</v>
      </c>
      <c r="H273" s="80">
        <f t="shared" si="138"/>
        <v>0</v>
      </c>
      <c r="I273" s="80">
        <f t="shared" si="138"/>
        <v>0</v>
      </c>
      <c r="J273" s="80">
        <f t="shared" si="138"/>
        <v>0</v>
      </c>
      <c r="K273" s="73"/>
      <c r="L273" s="73"/>
    </row>
    <row r="274" spans="1:12" ht="15.75" customHeight="1">
      <c r="A274" s="269" t="str">
        <f t="shared" ref="A274:A278" si="139">A223</f>
        <v>Pomegranate</v>
      </c>
      <c r="B274" s="78" t="s">
        <v>571</v>
      </c>
      <c r="C274" s="79">
        <v>0</v>
      </c>
      <c r="D274" s="80">
        <f t="shared" ref="D274:J274" si="140">B112*$C274*D$171</f>
        <v>0</v>
      </c>
      <c r="E274" s="80">
        <f t="shared" si="140"/>
        <v>0</v>
      </c>
      <c r="F274" s="80">
        <f t="shared" si="140"/>
        <v>0</v>
      </c>
      <c r="G274" s="80">
        <f t="shared" si="140"/>
        <v>0</v>
      </c>
      <c r="H274" s="80">
        <f t="shared" si="140"/>
        <v>0</v>
      </c>
      <c r="I274" s="80">
        <f t="shared" si="140"/>
        <v>0</v>
      </c>
      <c r="J274" s="80">
        <f t="shared" si="140"/>
        <v>0</v>
      </c>
      <c r="K274" s="73"/>
      <c r="L274" s="73"/>
    </row>
    <row r="275" spans="1:12" ht="15.75" customHeight="1">
      <c r="A275" s="269" t="str">
        <f t="shared" si="139"/>
        <v>Custard Apple</v>
      </c>
      <c r="B275" s="78" t="s">
        <v>571</v>
      </c>
      <c r="C275" s="79">
        <v>0</v>
      </c>
      <c r="D275" s="80">
        <f t="shared" ref="D275:J275" si="141">B113*$C275*D$171</f>
        <v>0</v>
      </c>
      <c r="E275" s="80">
        <f t="shared" si="141"/>
        <v>0</v>
      </c>
      <c r="F275" s="80">
        <f t="shared" si="141"/>
        <v>0</v>
      </c>
      <c r="G275" s="80">
        <f t="shared" si="141"/>
        <v>0</v>
      </c>
      <c r="H275" s="80">
        <f t="shared" si="141"/>
        <v>0</v>
      </c>
      <c r="I275" s="80">
        <f t="shared" si="141"/>
        <v>0</v>
      </c>
      <c r="J275" s="80">
        <f t="shared" si="141"/>
        <v>0</v>
      </c>
      <c r="K275" s="73"/>
      <c r="L275" s="73"/>
    </row>
    <row r="276" spans="1:12" ht="15.75" customHeight="1">
      <c r="A276" s="269" t="str">
        <f t="shared" si="139"/>
        <v>Guava</v>
      </c>
      <c r="B276" s="78" t="s">
        <v>571</v>
      </c>
      <c r="C276" s="79">
        <v>0</v>
      </c>
      <c r="D276" s="80">
        <f t="shared" ref="D276:J276" si="142">B114*$C276*D$171</f>
        <v>0</v>
      </c>
      <c r="E276" s="80">
        <f t="shared" si="142"/>
        <v>0</v>
      </c>
      <c r="F276" s="80">
        <f t="shared" si="142"/>
        <v>0</v>
      </c>
      <c r="G276" s="80">
        <f t="shared" si="142"/>
        <v>0</v>
      </c>
      <c r="H276" s="80">
        <f t="shared" si="142"/>
        <v>0</v>
      </c>
      <c r="I276" s="80">
        <f t="shared" si="142"/>
        <v>0</v>
      </c>
      <c r="J276" s="80">
        <f t="shared" si="142"/>
        <v>0</v>
      </c>
      <c r="K276" s="73"/>
      <c r="L276" s="73"/>
    </row>
    <row r="277" spans="1:12" ht="15.75" customHeight="1">
      <c r="A277" s="269" t="str">
        <f t="shared" si="139"/>
        <v>Citrus</v>
      </c>
      <c r="B277" s="78" t="s">
        <v>571</v>
      </c>
      <c r="C277" s="79">
        <v>0</v>
      </c>
      <c r="D277" s="80">
        <f t="shared" ref="D277:J277" si="143">B115*$C277*D$171</f>
        <v>0</v>
      </c>
      <c r="E277" s="80">
        <f t="shared" si="143"/>
        <v>0</v>
      </c>
      <c r="F277" s="80">
        <f t="shared" si="143"/>
        <v>0</v>
      </c>
      <c r="G277" s="80">
        <f t="shared" si="143"/>
        <v>0</v>
      </c>
      <c r="H277" s="80">
        <f t="shared" si="143"/>
        <v>0</v>
      </c>
      <c r="I277" s="80">
        <f t="shared" si="143"/>
        <v>0</v>
      </c>
      <c r="J277" s="80">
        <f t="shared" si="143"/>
        <v>0</v>
      </c>
      <c r="K277" s="73"/>
      <c r="L277" s="73"/>
    </row>
    <row r="278" spans="1:12" ht="15.75" customHeight="1">
      <c r="A278" s="78">
        <f t="shared" si="139"/>
        <v>0</v>
      </c>
      <c r="B278" s="78" t="s">
        <v>571</v>
      </c>
      <c r="C278" s="79">
        <v>0</v>
      </c>
      <c r="D278" s="80">
        <f t="shared" ref="D278:J278" si="144">B116*$C278*D$171</f>
        <v>0</v>
      </c>
      <c r="E278" s="80">
        <f t="shared" si="144"/>
        <v>0</v>
      </c>
      <c r="F278" s="80">
        <f t="shared" si="144"/>
        <v>0</v>
      </c>
      <c r="G278" s="80">
        <f t="shared" si="144"/>
        <v>0</v>
      </c>
      <c r="H278" s="80">
        <f t="shared" si="144"/>
        <v>0</v>
      </c>
      <c r="I278" s="80">
        <f t="shared" si="144"/>
        <v>0</v>
      </c>
      <c r="J278" s="80">
        <f t="shared" si="144"/>
        <v>0</v>
      </c>
      <c r="K278" s="73"/>
      <c r="L278" s="73"/>
    </row>
    <row r="279" spans="1:12" ht="15.75" customHeight="1">
      <c r="A279" s="78">
        <f>A229</f>
        <v>0</v>
      </c>
      <c r="B279" s="78"/>
      <c r="C279" s="79"/>
      <c r="D279" s="80">
        <f t="shared" ref="D279:J279" si="145">B117*$C279*D$171</f>
        <v>0</v>
      </c>
      <c r="E279" s="80">
        <f t="shared" si="145"/>
        <v>0</v>
      </c>
      <c r="F279" s="80">
        <f t="shared" si="145"/>
        <v>0</v>
      </c>
      <c r="G279" s="80">
        <f t="shared" si="145"/>
        <v>0</v>
      </c>
      <c r="H279" s="80">
        <f t="shared" si="145"/>
        <v>0</v>
      </c>
      <c r="I279" s="80">
        <f t="shared" si="145"/>
        <v>0</v>
      </c>
      <c r="J279" s="80">
        <f t="shared" si="145"/>
        <v>0</v>
      </c>
      <c r="K279" s="73"/>
      <c r="L279" s="73"/>
    </row>
    <row r="280" spans="1:12" ht="15.75" customHeight="1">
      <c r="A280" s="78"/>
      <c r="B280" s="78"/>
      <c r="C280" s="79"/>
      <c r="D280" s="80"/>
      <c r="E280" s="80"/>
      <c r="F280" s="80"/>
      <c r="G280" s="80"/>
      <c r="H280" s="80"/>
      <c r="I280" s="80"/>
      <c r="J280" s="80"/>
      <c r="K280" s="73"/>
      <c r="L280" s="73"/>
    </row>
    <row r="281" spans="1:12" ht="15.75" customHeight="1">
      <c r="A281" s="78" t="s">
        <v>574</v>
      </c>
      <c r="B281" s="50">
        <v>10</v>
      </c>
      <c r="C281" s="50">
        <v>550</v>
      </c>
      <c r="D281" s="80">
        <f>B9*$B$281*$C$281*D171</f>
        <v>74578.7109375</v>
      </c>
      <c r="E281" s="80">
        <f t="shared" ref="E281:J281" si="146">C9*$B$281*$C$281*E171</f>
        <v>83901.049804687515</v>
      </c>
      <c r="F281" s="80">
        <f t="shared" si="146"/>
        <v>93969.175781250015</v>
      </c>
      <c r="G281" s="80">
        <f t="shared" si="146"/>
        <v>104834.36173095704</v>
      </c>
      <c r="H281" s="80">
        <f t="shared" si="146"/>
        <v>116551.14333618166</v>
      </c>
      <c r="I281" s="80">
        <f t="shared" si="146"/>
        <v>129177.51719760132</v>
      </c>
      <c r="J281" s="80">
        <f t="shared" si="146"/>
        <v>142775.15058682251</v>
      </c>
      <c r="K281" s="73"/>
      <c r="L281" s="73"/>
    </row>
    <row r="282" spans="1:12" ht="15.75" customHeight="1">
      <c r="A282" s="78" t="s">
        <v>575</v>
      </c>
      <c r="B282" s="78">
        <f>'2.Capex Details'!H61*0.746*8</f>
        <v>0</v>
      </c>
      <c r="C282" s="50">
        <v>8</v>
      </c>
      <c r="D282" s="80">
        <f t="shared" ref="D282:J282" si="147">$B$282*$C$282*D171*B9</f>
        <v>0</v>
      </c>
      <c r="E282" s="80">
        <f t="shared" si="147"/>
        <v>0</v>
      </c>
      <c r="F282" s="80">
        <f t="shared" si="147"/>
        <v>0</v>
      </c>
      <c r="G282" s="80">
        <f t="shared" si="147"/>
        <v>0</v>
      </c>
      <c r="H282" s="80">
        <f t="shared" si="147"/>
        <v>0</v>
      </c>
      <c r="I282" s="80">
        <f t="shared" si="147"/>
        <v>0</v>
      </c>
      <c r="J282" s="80">
        <f t="shared" si="147"/>
        <v>0</v>
      </c>
      <c r="K282" s="73"/>
      <c r="L282" s="73"/>
    </row>
    <row r="283" spans="1:12" ht="15.75" customHeight="1">
      <c r="A283" s="78" t="s">
        <v>576</v>
      </c>
      <c r="B283" s="78"/>
      <c r="C283" s="50">
        <v>12</v>
      </c>
      <c r="D283" s="80">
        <f t="shared" ref="D283:J283" si="148">SUM(B119:B140)*$C$283*D171</f>
        <v>50507.415000000008</v>
      </c>
      <c r="E283" s="80">
        <f t="shared" si="148"/>
        <v>56820.841875000013</v>
      </c>
      <c r="F283" s="80">
        <f t="shared" si="148"/>
        <v>63639.342900000003</v>
      </c>
      <c r="G283" s="80">
        <f t="shared" si="148"/>
        <v>70997.641922812501</v>
      </c>
      <c r="H283" s="80">
        <f t="shared" si="148"/>
        <v>78932.672490656259</v>
      </c>
      <c r="I283" s="80">
        <f t="shared" si="148"/>
        <v>87483.712010477349</v>
      </c>
      <c r="J283" s="80">
        <f t="shared" si="148"/>
        <v>96692.523801053918</v>
      </c>
      <c r="K283" s="73"/>
      <c r="L283" s="73"/>
    </row>
    <row r="284" spans="1:12" ht="15.75" customHeight="1">
      <c r="A284" s="78" t="s">
        <v>577</v>
      </c>
      <c r="B284" s="78"/>
      <c r="C284" s="50">
        <v>12</v>
      </c>
      <c r="D284" s="80">
        <f>SUM(B119:B140)*$C$284*D171</f>
        <v>50507.415000000008</v>
      </c>
      <c r="E284" s="80">
        <f t="shared" ref="E284:J284" si="149">SUM(C119:C140)*$C$284*E171</f>
        <v>56820.841875000013</v>
      </c>
      <c r="F284" s="80">
        <f t="shared" si="149"/>
        <v>63639.342900000003</v>
      </c>
      <c r="G284" s="80">
        <f t="shared" si="149"/>
        <v>70997.641922812501</v>
      </c>
      <c r="H284" s="80">
        <f t="shared" si="149"/>
        <v>78932.672490656259</v>
      </c>
      <c r="I284" s="80">
        <f t="shared" si="149"/>
        <v>87483.712010477349</v>
      </c>
      <c r="J284" s="80">
        <f t="shared" si="149"/>
        <v>96692.523801053918</v>
      </c>
      <c r="K284" s="73"/>
      <c r="L284" s="73"/>
    </row>
    <row r="285" spans="1:12" ht="15.75" customHeight="1">
      <c r="A285" s="139"/>
      <c r="B285" s="139"/>
      <c r="C285" s="139"/>
      <c r="D285" s="139"/>
      <c r="E285" s="139"/>
      <c r="F285" s="139"/>
      <c r="G285" s="139"/>
      <c r="H285" s="139"/>
      <c r="I285" s="139"/>
      <c r="J285" s="139"/>
      <c r="K285" s="73"/>
      <c r="L285" s="73"/>
    </row>
    <row r="286" spans="1:12" ht="15.75" customHeight="1">
      <c r="A286" s="139"/>
      <c r="B286" s="139"/>
      <c r="C286" s="139"/>
      <c r="D286" s="139"/>
      <c r="E286" s="139"/>
      <c r="F286" s="139"/>
      <c r="G286" s="139"/>
      <c r="H286" s="139"/>
      <c r="I286" s="139"/>
      <c r="J286" s="139"/>
      <c r="K286" s="73"/>
      <c r="L286" s="73"/>
    </row>
    <row r="287" spans="1:12" ht="15.75" customHeight="1">
      <c r="A287" s="139"/>
      <c r="B287" s="139"/>
      <c r="C287" s="139"/>
      <c r="D287" s="139"/>
      <c r="E287" s="139"/>
      <c r="F287" s="139"/>
      <c r="G287" s="139"/>
      <c r="H287" s="139"/>
      <c r="I287" s="139"/>
      <c r="J287" s="139"/>
      <c r="K287" s="73"/>
      <c r="L287" s="73"/>
    </row>
    <row r="288" spans="1:12" ht="15.75" customHeight="1">
      <c r="A288" s="78" t="s">
        <v>578</v>
      </c>
      <c r="B288" s="78"/>
      <c r="C288" s="78"/>
      <c r="D288" s="269"/>
      <c r="E288" s="269">
        <f>'5.Closing Stock &amp; W Capital'!F7</f>
        <v>71696.989546875004</v>
      </c>
      <c r="F288" s="269">
        <f>'5.Closing Stock &amp; W Capital'!G7</f>
        <v>80659.113240234379</v>
      </c>
      <c r="G288" s="269">
        <f>'5.Closing Stock &amp; W Capital'!H7</f>
        <v>90338.206829062532</v>
      </c>
      <c r="H288" s="269">
        <f>'5.Closing Stock &amp; W Capital'!I7</f>
        <v>100783.56199367286</v>
      </c>
      <c r="I288" s="269">
        <f>'5.Closing Stock &amp; W Capital'!J7</f>
        <v>112047.60715767165</v>
      </c>
      <c r="J288" s="269">
        <f>'5.Closing Stock &amp; W Capital'!K7</f>
        <v>124186.09793308598</v>
      </c>
      <c r="K288" s="73"/>
      <c r="L288" s="73"/>
    </row>
    <row r="289" spans="1:20" ht="15.75" customHeight="1">
      <c r="A289" s="78" t="s">
        <v>579</v>
      </c>
      <c r="B289" s="78"/>
      <c r="C289" s="269"/>
      <c r="D289" s="269">
        <f>'5.Closing Stock &amp; W Capital'!E16</f>
        <v>71696.989546875004</v>
      </c>
      <c r="E289" s="269">
        <f>'5.Closing Stock &amp; W Capital'!F16</f>
        <v>80659.113240234379</v>
      </c>
      <c r="F289" s="269">
        <f>'5.Closing Stock &amp; W Capital'!G16</f>
        <v>90338.206829062532</v>
      </c>
      <c r="G289" s="269">
        <f>'5.Closing Stock &amp; W Capital'!H16</f>
        <v>100783.56199367286</v>
      </c>
      <c r="H289" s="269">
        <f>'5.Closing Stock &amp; W Capital'!I16</f>
        <v>112047.60715767165</v>
      </c>
      <c r="I289" s="269">
        <f>'5.Closing Stock &amp; W Capital'!J16</f>
        <v>124186.09793308598</v>
      </c>
      <c r="J289" s="269">
        <f>'5.Closing Stock &amp; W Capital'!K16</f>
        <v>137258.3187681477</v>
      </c>
      <c r="K289" s="73"/>
      <c r="L289" s="73"/>
    </row>
    <row r="290" spans="1:20" ht="15.75" customHeight="1">
      <c r="A290" s="78"/>
      <c r="B290" s="78"/>
      <c r="C290" s="80"/>
      <c r="D290" s="269"/>
      <c r="E290" s="269"/>
      <c r="F290" s="269"/>
      <c r="G290" s="269"/>
      <c r="H290" s="269"/>
      <c r="I290" s="269"/>
      <c r="J290" s="269"/>
      <c r="K290" s="73"/>
      <c r="L290" s="73"/>
      <c r="M290" s="73"/>
      <c r="N290" s="73"/>
      <c r="O290" s="73"/>
      <c r="P290" s="73"/>
      <c r="Q290" s="73"/>
      <c r="R290" s="73"/>
      <c r="S290" s="73"/>
      <c r="T290" s="73"/>
    </row>
    <row r="291" spans="1:20" ht="15.75" customHeight="1">
      <c r="A291" s="81" t="s">
        <v>347</v>
      </c>
      <c r="B291" s="81"/>
      <c r="C291" s="81"/>
      <c r="D291" s="82">
        <f>SUM(D232:D288)-D289</f>
        <v>1362242.8013906251</v>
      </c>
      <c r="E291" s="82">
        <f t="shared" ref="E291:J291" si="150">SUM(E232:E288)-E289</f>
        <v>1604220.1411113283</v>
      </c>
      <c r="F291" s="82">
        <f t="shared" si="150"/>
        <v>1797085.0429924224</v>
      </c>
      <c r="G291" s="82">
        <f t="shared" si="150"/>
        <v>2005225.8847088465</v>
      </c>
      <c r="H291" s="82">
        <f t="shared" si="150"/>
        <v>2229688.0979894339</v>
      </c>
      <c r="I291" s="82">
        <f t="shared" si="150"/>
        <v>2471583.4678863054</v>
      </c>
      <c r="J291" s="82">
        <f t="shared" si="150"/>
        <v>2732094.1545278919</v>
      </c>
      <c r="K291" s="73"/>
      <c r="L291" s="73"/>
      <c r="M291" s="73"/>
      <c r="N291" s="73"/>
      <c r="O291" s="73"/>
      <c r="P291" s="73"/>
      <c r="Q291" s="73"/>
      <c r="R291" s="73"/>
      <c r="S291" s="73"/>
      <c r="T291" s="73"/>
    </row>
    <row r="292" spans="1:20" ht="15.75" customHeight="1">
      <c r="A292" s="81" t="s">
        <v>348</v>
      </c>
      <c r="B292" s="78"/>
      <c r="C292" s="78"/>
      <c r="D292" s="216"/>
      <c r="E292" s="216"/>
      <c r="F292" s="216"/>
      <c r="G292" s="216"/>
      <c r="H292" s="216"/>
      <c r="I292" s="78"/>
      <c r="J292" s="78"/>
      <c r="K292" s="73"/>
      <c r="L292" s="73"/>
      <c r="M292" s="73"/>
      <c r="N292" s="73"/>
      <c r="O292" s="73"/>
      <c r="P292" s="73"/>
      <c r="Q292" s="73"/>
      <c r="R292" s="73"/>
      <c r="S292" s="73"/>
      <c r="T292" s="73"/>
    </row>
    <row r="293" spans="1:20" ht="15.75" customHeight="1">
      <c r="A293" s="78" t="s">
        <v>580</v>
      </c>
      <c r="B293" s="50">
        <v>2</v>
      </c>
      <c r="C293" s="79">
        <v>20000</v>
      </c>
      <c r="D293" s="80">
        <f t="shared" ref="D293:J293" si="151">$B$293*$C$293*12*D171</f>
        <v>336000</v>
      </c>
      <c r="E293" s="80">
        <f t="shared" si="151"/>
        <v>360000</v>
      </c>
      <c r="F293" s="80">
        <f t="shared" si="151"/>
        <v>384000</v>
      </c>
      <c r="G293" s="80">
        <f t="shared" si="151"/>
        <v>408000</v>
      </c>
      <c r="H293" s="80">
        <f t="shared" si="151"/>
        <v>432000</v>
      </c>
      <c r="I293" s="80">
        <f t="shared" si="151"/>
        <v>456000</v>
      </c>
      <c r="J293" s="80">
        <f t="shared" si="151"/>
        <v>480000</v>
      </c>
      <c r="K293" s="73"/>
      <c r="L293" s="73"/>
      <c r="M293" s="73"/>
      <c r="N293" s="73"/>
      <c r="O293" s="73"/>
      <c r="P293" s="73"/>
      <c r="Q293" s="73"/>
      <c r="R293" s="73"/>
      <c r="S293" s="73"/>
      <c r="T293" s="73"/>
    </row>
    <row r="294" spans="1:20" ht="15.75" customHeight="1">
      <c r="A294" s="78"/>
      <c r="B294" s="50"/>
      <c r="C294" s="79"/>
      <c r="D294" s="80"/>
      <c r="E294" s="80"/>
      <c r="F294" s="80"/>
      <c r="G294" s="80"/>
      <c r="H294" s="80"/>
      <c r="I294" s="80"/>
      <c r="J294" s="80"/>
      <c r="K294" s="73"/>
      <c r="L294" s="73"/>
      <c r="M294" s="73"/>
      <c r="N294" s="274"/>
      <c r="O294" s="73"/>
      <c r="P294" s="73"/>
      <c r="Q294" s="73"/>
      <c r="R294" s="73"/>
      <c r="S294" s="73"/>
      <c r="T294" s="73"/>
    </row>
    <row r="295" spans="1:20" ht="15.75" customHeight="1">
      <c r="A295" s="78"/>
      <c r="B295" s="50"/>
      <c r="C295" s="79"/>
      <c r="D295" s="80"/>
      <c r="E295" s="80"/>
      <c r="F295" s="80"/>
      <c r="G295" s="80"/>
      <c r="H295" s="80"/>
      <c r="I295" s="80"/>
      <c r="J295" s="80"/>
      <c r="K295" s="73"/>
      <c r="L295" s="73"/>
      <c r="M295" s="73"/>
      <c r="N295" s="73"/>
      <c r="O295" s="73"/>
      <c r="P295" s="73"/>
      <c r="Q295" s="73"/>
      <c r="R295" s="73"/>
      <c r="S295" s="73"/>
      <c r="T295" s="73"/>
    </row>
    <row r="296" spans="1:20" ht="15.75" customHeight="1">
      <c r="A296" s="78"/>
      <c r="B296" s="50"/>
      <c r="C296" s="79"/>
      <c r="D296" s="80"/>
      <c r="E296" s="80"/>
      <c r="F296" s="80"/>
      <c r="G296" s="80"/>
      <c r="H296" s="80"/>
      <c r="I296" s="80"/>
      <c r="J296" s="80"/>
      <c r="K296" s="73"/>
      <c r="L296" s="73"/>
      <c r="M296" s="73"/>
      <c r="N296" s="73"/>
      <c r="O296" s="73"/>
      <c r="P296" s="73"/>
      <c r="Q296" s="73"/>
      <c r="R296" s="73"/>
      <c r="S296" s="73"/>
      <c r="T296" s="73"/>
    </row>
    <row r="297" spans="1:20" ht="15.75" customHeight="1">
      <c r="A297" s="78"/>
      <c r="B297" s="50"/>
      <c r="C297" s="79"/>
      <c r="D297" s="80"/>
      <c r="E297" s="80"/>
      <c r="F297" s="80"/>
      <c r="G297" s="80"/>
      <c r="H297" s="80"/>
      <c r="I297" s="80"/>
      <c r="J297" s="80"/>
      <c r="K297" s="73"/>
      <c r="L297" s="73"/>
      <c r="M297" s="73"/>
      <c r="N297" s="73"/>
      <c r="O297" s="73"/>
      <c r="P297" s="73"/>
      <c r="Q297" s="73"/>
      <c r="R297" s="73"/>
      <c r="S297" s="73"/>
      <c r="T297" s="73"/>
    </row>
    <row r="298" spans="1:20" ht="15.75" customHeight="1">
      <c r="A298" s="78"/>
      <c r="B298" s="50"/>
      <c r="C298" s="79"/>
      <c r="D298" s="80"/>
      <c r="E298" s="80"/>
      <c r="F298" s="80"/>
      <c r="G298" s="80"/>
      <c r="H298" s="80"/>
      <c r="I298" s="80"/>
      <c r="J298" s="80"/>
      <c r="K298" s="73"/>
      <c r="L298" s="73"/>
      <c r="M298" s="73"/>
      <c r="N298" s="73"/>
      <c r="O298" s="73"/>
      <c r="P298" s="73"/>
      <c r="Q298" s="73"/>
      <c r="R298" s="73"/>
      <c r="S298" s="73"/>
      <c r="T298" s="73"/>
    </row>
    <row r="299" spans="1:20" ht="15.75" customHeight="1">
      <c r="A299" s="78"/>
      <c r="B299" s="50"/>
      <c r="C299" s="79"/>
      <c r="D299" s="80"/>
      <c r="E299" s="80"/>
      <c r="F299" s="80"/>
      <c r="G299" s="80"/>
      <c r="H299" s="80"/>
      <c r="I299" s="80"/>
      <c r="J299" s="80"/>
      <c r="K299" s="73"/>
      <c r="L299" s="73"/>
      <c r="M299" s="73"/>
      <c r="N299" s="73"/>
      <c r="O299" s="73"/>
      <c r="P299" s="73"/>
      <c r="Q299" s="73"/>
      <c r="R299" s="73"/>
      <c r="S299" s="73"/>
      <c r="T299" s="73"/>
    </row>
    <row r="300" spans="1:20" ht="15.75" customHeight="1">
      <c r="A300" s="81" t="s">
        <v>350</v>
      </c>
      <c r="B300" s="55"/>
      <c r="C300" s="55"/>
      <c r="D300" s="82">
        <f>SUM(D293:D299)</f>
        <v>336000</v>
      </c>
      <c r="E300" s="82">
        <f t="shared" ref="E300:J300" si="152">SUM(E293:E299)</f>
        <v>360000</v>
      </c>
      <c r="F300" s="82">
        <f t="shared" si="152"/>
        <v>384000</v>
      </c>
      <c r="G300" s="82">
        <f t="shared" si="152"/>
        <v>408000</v>
      </c>
      <c r="H300" s="82">
        <f t="shared" si="152"/>
        <v>432000</v>
      </c>
      <c r="I300" s="82">
        <f t="shared" si="152"/>
        <v>456000</v>
      </c>
      <c r="J300" s="82">
        <f t="shared" si="152"/>
        <v>480000</v>
      </c>
      <c r="K300" s="73"/>
      <c r="L300" s="73"/>
      <c r="M300" s="73"/>
      <c r="N300" s="274"/>
      <c r="O300" s="73"/>
      <c r="P300" s="73"/>
      <c r="Q300" s="73"/>
      <c r="R300" s="73"/>
      <c r="S300" s="73"/>
      <c r="T300" s="73"/>
    </row>
    <row r="301" spans="1:20" ht="15.75" customHeight="1">
      <c r="A301" s="81" t="s">
        <v>581</v>
      </c>
      <c r="B301" s="81"/>
      <c r="C301" s="81"/>
      <c r="D301" s="82">
        <f t="shared" ref="D301:J301" si="153">D291+D300</f>
        <v>1698242.8013906251</v>
      </c>
      <c r="E301" s="82">
        <f t="shared" si="153"/>
        <v>1964220.1411113283</v>
      </c>
      <c r="F301" s="82">
        <f t="shared" si="153"/>
        <v>2181085.0429924224</v>
      </c>
      <c r="G301" s="82">
        <f t="shared" si="153"/>
        <v>2413225.8847088465</v>
      </c>
      <c r="H301" s="82">
        <f t="shared" si="153"/>
        <v>2661688.0979894339</v>
      </c>
      <c r="I301" s="82">
        <f t="shared" si="153"/>
        <v>2927583.4678863054</v>
      </c>
      <c r="J301" s="82">
        <f t="shared" si="153"/>
        <v>3212094.1545278919</v>
      </c>
      <c r="K301" s="73"/>
      <c r="L301" s="73"/>
      <c r="M301" s="73"/>
      <c r="N301" s="73"/>
      <c r="O301" s="73"/>
      <c r="P301" s="73"/>
      <c r="Q301" s="73"/>
      <c r="R301" s="73"/>
      <c r="S301" s="73"/>
      <c r="T301" s="73"/>
    </row>
    <row r="302" spans="1:20" ht="15.75" customHeight="1">
      <c r="A302" s="78"/>
      <c r="B302" s="78"/>
      <c r="C302" s="78"/>
      <c r="D302" s="216"/>
      <c r="E302" s="216"/>
      <c r="F302" s="216"/>
      <c r="G302" s="216"/>
      <c r="H302" s="216"/>
      <c r="I302" s="78"/>
      <c r="J302" s="78"/>
      <c r="K302" s="73"/>
      <c r="L302" s="73"/>
      <c r="M302" s="73"/>
      <c r="N302" s="73"/>
      <c r="O302" s="73"/>
      <c r="P302" s="73"/>
      <c r="Q302" s="73"/>
      <c r="R302" s="73"/>
      <c r="S302" s="73"/>
      <c r="T302" s="73"/>
    </row>
    <row r="303" spans="1:20" ht="15.75" customHeight="1">
      <c r="A303" s="81"/>
      <c r="B303" s="81"/>
      <c r="C303" s="81"/>
      <c r="D303" s="216"/>
      <c r="E303" s="216"/>
      <c r="F303" s="216"/>
      <c r="G303" s="216"/>
      <c r="H303" s="216"/>
      <c r="I303" s="78"/>
      <c r="J303" s="78"/>
      <c r="K303" s="73"/>
      <c r="L303" s="73"/>
      <c r="M303" s="73"/>
      <c r="N303" s="73"/>
      <c r="O303" s="73"/>
      <c r="P303" s="73"/>
      <c r="Q303" s="73"/>
      <c r="R303" s="73"/>
      <c r="S303" s="73"/>
      <c r="T303" s="73"/>
    </row>
    <row r="304" spans="1:20" ht="15.75" customHeight="1">
      <c r="A304" s="81" t="s">
        <v>582</v>
      </c>
      <c r="B304" s="81"/>
      <c r="C304" s="81"/>
      <c r="D304" s="82">
        <f>D228-D301</f>
        <v>101083.85798437474</v>
      </c>
      <c r="E304" s="82">
        <f t="shared" ref="E304:J304" si="154">E228-E301</f>
        <v>161488.13974804711</v>
      </c>
      <c r="F304" s="82">
        <f t="shared" si="154"/>
        <v>199708.23157007759</v>
      </c>
      <c r="G304" s="82">
        <f t="shared" si="154"/>
        <v>242846.61222494254</v>
      </c>
      <c r="H304" s="82">
        <f t="shared" si="154"/>
        <v>291239.56036636746</v>
      </c>
      <c r="I304" s="82">
        <f t="shared" si="154"/>
        <v>345244.68679137388</v>
      </c>
      <c r="J304" s="82">
        <f t="shared" si="154"/>
        <v>405242.22695796471</v>
      </c>
      <c r="K304" s="73"/>
      <c r="L304" s="73"/>
      <c r="M304" s="73"/>
      <c r="N304" s="73"/>
      <c r="O304" s="73"/>
      <c r="P304" s="73"/>
      <c r="Q304" s="73"/>
      <c r="R304" s="73"/>
      <c r="S304" s="73"/>
      <c r="T304" s="73"/>
    </row>
    <row r="305" spans="1:10" ht="15.75" customHeight="1">
      <c r="A305" s="73" t="s">
        <v>583</v>
      </c>
      <c r="B305" s="73"/>
      <c r="C305" s="73"/>
      <c r="D305" s="73"/>
      <c r="E305" s="73"/>
      <c r="F305" s="73"/>
      <c r="G305" s="73"/>
      <c r="H305" s="73"/>
      <c r="I305" s="73"/>
      <c r="J305" s="73"/>
    </row>
    <row r="306" spans="1:10" ht="15.75" customHeight="1">
      <c r="A306" s="342" t="s">
        <v>584</v>
      </c>
      <c r="B306" s="324"/>
      <c r="C306" s="324"/>
      <c r="D306" s="324"/>
      <c r="E306" s="324"/>
      <c r="F306" s="324"/>
      <c r="G306" s="324"/>
      <c r="H306" s="324"/>
      <c r="I306" s="324"/>
      <c r="J306" s="324"/>
    </row>
    <row r="307" spans="1:10" ht="15.75" customHeight="1">
      <c r="A307" t="s">
        <v>306</v>
      </c>
    </row>
    <row r="308" spans="1:10" ht="15.75" customHeight="1">
      <c r="A308">
        <v>1</v>
      </c>
      <c r="B308" t="s">
        <v>585</v>
      </c>
    </row>
    <row r="309" spans="1:10" ht="15.75" customHeight="1">
      <c r="A309">
        <v>2</v>
      </c>
      <c r="B309" t="s">
        <v>586</v>
      </c>
    </row>
    <row r="310" spans="1:10" ht="15.75" customHeight="1">
      <c r="A310">
        <v>3</v>
      </c>
      <c r="B310" s="73" t="s">
        <v>587</v>
      </c>
    </row>
  </sheetData>
  <mergeCells count="5">
    <mergeCell ref="A169:J169"/>
    <mergeCell ref="A1:H1"/>
    <mergeCell ref="A306:J306"/>
    <mergeCell ref="F3:H3"/>
    <mergeCell ref="A2:H2"/>
  </mergeCells>
  <pageMargins left="0.7" right="0.7" top="0.5" bottom="0.25" header="0" footer="0"/>
  <pageSetup paperSize="9" scale="41" orientation="landscape" r:id="rId1"/>
  <rowBreaks count="5" manualBreakCount="5">
    <brk id="42" max="16383" man="1"/>
    <brk id="86" max="9" man="1"/>
    <brk id="156" max="9" man="1"/>
    <brk id="200" max="16383" man="1"/>
    <brk id="228" max="16383" man="1"/>
  </rowBreaks>
</worksheet>
</file>

<file path=xl/worksheets/sheet14.xml><?xml version="1.0" encoding="utf-8"?>
<worksheet xmlns="http://schemas.openxmlformats.org/spreadsheetml/2006/main" xmlns:r="http://schemas.openxmlformats.org/officeDocument/2006/relationships">
  <dimension ref="A3:K196"/>
  <sheetViews>
    <sheetView view="pageBreakPreview" topLeftCell="A164" zoomScale="94" zoomScaleSheetLayoutView="94" workbookViewId="0">
      <selection activeCell="D180" sqref="D180"/>
    </sheetView>
  </sheetViews>
  <sheetFormatPr defaultColWidth="14.42578125" defaultRowHeight="15" customHeight="1"/>
  <cols>
    <col min="1" max="1" width="25.5703125" customWidth="1"/>
    <col min="2" max="2" width="10.5703125" customWidth="1"/>
    <col min="3" max="3" width="10.28515625" bestFit="1" customWidth="1"/>
    <col min="4" max="4" width="15.5703125" bestFit="1" customWidth="1"/>
    <col min="5" max="5" width="16.42578125" bestFit="1" customWidth="1"/>
    <col min="6" max="8" width="18.85546875" bestFit="1" customWidth="1"/>
    <col min="9" max="10" width="19.85546875" bestFit="1" customWidth="1"/>
    <col min="11" max="11" width="8.7109375" customWidth="1"/>
  </cols>
  <sheetData>
    <row r="3" spans="1:9" ht="18.75">
      <c r="A3" s="347" t="s">
        <v>704</v>
      </c>
      <c r="B3" s="324"/>
      <c r="C3" s="324"/>
      <c r="D3" s="324"/>
      <c r="E3" s="324"/>
      <c r="F3" s="324"/>
      <c r="G3" s="324"/>
      <c r="H3" s="324"/>
    </row>
    <row r="4" spans="1:9" ht="18.75">
      <c r="A4" s="340" t="s">
        <v>588</v>
      </c>
      <c r="B4" s="324"/>
      <c r="C4" s="324"/>
      <c r="D4" s="324"/>
      <c r="E4" s="324"/>
      <c r="F4" s="324"/>
      <c r="G4" s="324"/>
      <c r="H4" s="324"/>
    </row>
    <row r="5" spans="1:9">
      <c r="A5" s="73" t="s">
        <v>124</v>
      </c>
      <c r="B5" s="263">
        <v>40</v>
      </c>
      <c r="C5" s="73" t="s">
        <v>589</v>
      </c>
      <c r="D5" s="73"/>
      <c r="E5" s="73"/>
      <c r="F5" s="73"/>
      <c r="G5" s="73"/>
      <c r="H5" s="73"/>
    </row>
    <row r="6" spans="1:9">
      <c r="A6" s="73" t="s">
        <v>560</v>
      </c>
      <c r="B6" s="121">
        <v>8</v>
      </c>
      <c r="C6" s="73"/>
      <c r="D6" s="73"/>
      <c r="E6" s="73"/>
      <c r="F6" s="73"/>
      <c r="G6" s="73"/>
      <c r="H6" s="73"/>
    </row>
    <row r="7" spans="1:9">
      <c r="A7" s="73"/>
      <c r="B7" s="121"/>
      <c r="C7" s="73"/>
      <c r="D7" s="73"/>
      <c r="E7" s="73"/>
      <c r="F7" s="73"/>
      <c r="G7" s="73"/>
      <c r="H7" s="73"/>
    </row>
    <row r="8" spans="1:9">
      <c r="A8" s="73"/>
      <c r="B8" s="121"/>
      <c r="C8" s="73"/>
      <c r="D8" s="73"/>
      <c r="E8" s="73"/>
      <c r="F8" s="73"/>
      <c r="G8" s="73"/>
      <c r="H8" s="73"/>
    </row>
    <row r="9" spans="1:9">
      <c r="A9" s="73"/>
      <c r="B9" s="73"/>
      <c r="C9" s="73"/>
      <c r="D9" s="73"/>
      <c r="E9" s="73"/>
      <c r="F9" s="73"/>
      <c r="G9" s="73"/>
      <c r="H9" s="73"/>
    </row>
    <row r="10" spans="1:9">
      <c r="A10" s="73"/>
      <c r="B10" s="73"/>
      <c r="C10" s="73"/>
      <c r="D10" s="73"/>
      <c r="E10" s="73"/>
      <c r="F10" s="73"/>
      <c r="G10" s="73"/>
      <c r="H10" s="73"/>
    </row>
    <row r="11" spans="1:9">
      <c r="A11" s="129" t="s">
        <v>142</v>
      </c>
      <c r="B11" s="130" t="s">
        <v>145</v>
      </c>
      <c r="C11" s="130" t="s">
        <v>146</v>
      </c>
      <c r="D11" s="130" t="s">
        <v>147</v>
      </c>
      <c r="E11" s="130" t="s">
        <v>148</v>
      </c>
      <c r="F11" s="130" t="s">
        <v>149</v>
      </c>
      <c r="G11" s="130" t="s">
        <v>150</v>
      </c>
      <c r="H11" s="130" t="s">
        <v>151</v>
      </c>
    </row>
    <row r="12" spans="1:9">
      <c r="A12" s="78" t="s">
        <v>590</v>
      </c>
      <c r="B12" s="275">
        <f>B32/($B$5*$B$6)</f>
        <v>174.33984375</v>
      </c>
      <c r="C12" s="275">
        <f>C32/($B$5*$B$6)</f>
        <v>183.05683593750001</v>
      </c>
      <c r="D12" s="275">
        <f t="shared" ref="D12:H12" si="0">D32/($B$5*$B$6)</f>
        <v>192.20967773437502</v>
      </c>
      <c r="E12" s="275">
        <f t="shared" si="0"/>
        <v>201.82016162109377</v>
      </c>
      <c r="F12" s="275">
        <f t="shared" si="0"/>
        <v>211.91116970214847</v>
      </c>
      <c r="G12" s="275">
        <f t="shared" si="0"/>
        <v>222.50672818725587</v>
      </c>
      <c r="H12" s="275">
        <f t="shared" si="0"/>
        <v>233.6320645966187</v>
      </c>
      <c r="I12" s="247"/>
    </row>
    <row r="13" spans="1:9">
      <c r="A13" s="78" t="str">
        <f>'10.Grain Production details'!A67</f>
        <v>Soybean</v>
      </c>
      <c r="B13" s="78">
        <f>'10.Grain Production details'!B67</f>
        <v>0</v>
      </c>
      <c r="C13" s="78">
        <f>'10.Grain Production details'!C67</f>
        <v>0</v>
      </c>
      <c r="D13" s="78">
        <f>'10.Grain Production details'!D67</f>
        <v>0</v>
      </c>
      <c r="E13" s="78">
        <f>'10.Grain Production details'!E67</f>
        <v>0</v>
      </c>
      <c r="F13" s="78">
        <f>'10.Grain Production details'!F67</f>
        <v>0</v>
      </c>
      <c r="G13" s="78">
        <f>'10.Grain Production details'!G67</f>
        <v>0</v>
      </c>
      <c r="H13" s="78">
        <f>'10.Grain Production details'!H67</f>
        <v>0</v>
      </c>
    </row>
    <row r="14" spans="1:9">
      <c r="A14" s="78" t="str">
        <f>'10.Grain Production details'!A68</f>
        <v>Red Gram/Tur</v>
      </c>
      <c r="B14" s="78">
        <f>'10.Grain Production details'!B68</f>
        <v>0</v>
      </c>
      <c r="C14" s="78">
        <f>'10.Grain Production details'!C68</f>
        <v>0</v>
      </c>
      <c r="D14" s="78">
        <f>'10.Grain Production details'!D68</f>
        <v>0</v>
      </c>
      <c r="E14" s="78">
        <f>'10.Grain Production details'!E68</f>
        <v>0</v>
      </c>
      <c r="F14" s="78">
        <f>'10.Grain Production details'!F68</f>
        <v>0</v>
      </c>
      <c r="G14" s="78">
        <f>'10.Grain Production details'!G68</f>
        <v>0</v>
      </c>
      <c r="H14" s="78">
        <f>'10.Grain Production details'!H68</f>
        <v>0</v>
      </c>
    </row>
    <row r="15" spans="1:9">
      <c r="A15" s="78" t="str">
        <f>'10.Grain Production details'!A69</f>
        <v>Paddy/Rice</v>
      </c>
      <c r="B15" s="78">
        <f>'10.Grain Production details'!B69</f>
        <v>55788.75</v>
      </c>
      <c r="C15" s="78">
        <f>'10.Grain Production details'!C69</f>
        <v>58578.187500000007</v>
      </c>
      <c r="D15" s="78">
        <f>'10.Grain Production details'!D69</f>
        <v>61507.096875000003</v>
      </c>
      <c r="E15" s="78">
        <f>'10.Grain Production details'!E69</f>
        <v>64582.45171875001</v>
      </c>
      <c r="F15" s="78">
        <f>'10.Grain Production details'!F69</f>
        <v>67811.574304687514</v>
      </c>
      <c r="G15" s="78">
        <f>'10.Grain Production details'!G69</f>
        <v>71202.153019921883</v>
      </c>
      <c r="H15" s="78">
        <f>'10.Grain Production details'!H69</f>
        <v>74762.260670917982</v>
      </c>
    </row>
    <row r="16" spans="1:9">
      <c r="A16" s="78" t="str">
        <f>'10.Grain Production details'!A70</f>
        <v>Green Gram/ Moong</v>
      </c>
      <c r="B16" s="78">
        <f>'10.Grain Production details'!B70</f>
        <v>0</v>
      </c>
      <c r="C16" s="78">
        <f>'10.Grain Production details'!C70</f>
        <v>0</v>
      </c>
      <c r="D16" s="78">
        <f>'10.Grain Production details'!D70</f>
        <v>0</v>
      </c>
      <c r="E16" s="78">
        <f>'10.Grain Production details'!E70</f>
        <v>0</v>
      </c>
      <c r="F16" s="78">
        <f>'10.Grain Production details'!F70</f>
        <v>0</v>
      </c>
      <c r="G16" s="78">
        <f>'10.Grain Production details'!G70</f>
        <v>0</v>
      </c>
      <c r="H16" s="78">
        <f>'10.Grain Production details'!H70</f>
        <v>0</v>
      </c>
    </row>
    <row r="17" spans="1:8">
      <c r="A17" s="78" t="str">
        <f>'10.Grain Production details'!A71</f>
        <v>Maize</v>
      </c>
      <c r="B17" s="78">
        <f>'10.Grain Production details'!B71</f>
        <v>0</v>
      </c>
      <c r="C17" s="78">
        <f>'10.Grain Production details'!C71</f>
        <v>0</v>
      </c>
      <c r="D17" s="78">
        <f>'10.Grain Production details'!D71</f>
        <v>0</v>
      </c>
      <c r="E17" s="78">
        <f>'10.Grain Production details'!E71</f>
        <v>0</v>
      </c>
      <c r="F17" s="78">
        <f>'10.Grain Production details'!F71</f>
        <v>0</v>
      </c>
      <c r="G17" s="78">
        <f>'10.Grain Production details'!G71</f>
        <v>0</v>
      </c>
      <c r="H17" s="78">
        <f>'10.Grain Production details'!H71</f>
        <v>0</v>
      </c>
    </row>
    <row r="18" spans="1:8">
      <c r="A18" s="78" t="str">
        <f>'10.Grain Production details'!A72</f>
        <v>Black Gram/Udid</v>
      </c>
      <c r="B18" s="78">
        <f>'10.Grain Production details'!B72</f>
        <v>0</v>
      </c>
      <c r="C18" s="78">
        <f>'10.Grain Production details'!C72</f>
        <v>0</v>
      </c>
      <c r="D18" s="78">
        <f>'10.Grain Production details'!D72</f>
        <v>0</v>
      </c>
      <c r="E18" s="78">
        <f>'10.Grain Production details'!E72</f>
        <v>0</v>
      </c>
      <c r="F18" s="78">
        <f>'10.Grain Production details'!F72</f>
        <v>0</v>
      </c>
      <c r="G18" s="78">
        <f>'10.Grain Production details'!G72</f>
        <v>0</v>
      </c>
      <c r="H18" s="78">
        <f>'10.Grain Production details'!H72</f>
        <v>0</v>
      </c>
    </row>
    <row r="19" spans="1:8">
      <c r="A19" s="78" t="str">
        <f>'10.Grain Production details'!A73</f>
        <v>Bajra</v>
      </c>
      <c r="B19" s="78">
        <f>'10.Grain Production details'!B73</f>
        <v>0</v>
      </c>
      <c r="C19" s="78">
        <f>'10.Grain Production details'!C73</f>
        <v>0</v>
      </c>
      <c r="D19" s="78">
        <f>'10.Grain Production details'!D73</f>
        <v>0</v>
      </c>
      <c r="E19" s="78">
        <f>'10.Grain Production details'!E73</f>
        <v>0</v>
      </c>
      <c r="F19" s="78">
        <f>'10.Grain Production details'!F73</f>
        <v>0</v>
      </c>
      <c r="G19" s="78">
        <f>'10.Grain Production details'!G73</f>
        <v>0</v>
      </c>
      <c r="H19" s="78">
        <f>'10.Grain Production details'!H73</f>
        <v>0</v>
      </c>
    </row>
    <row r="20" spans="1:8">
      <c r="A20" s="78" t="str">
        <f>'10.Grain Production details'!A74</f>
        <v>Jawar</v>
      </c>
      <c r="B20" s="78">
        <f>'10.Grain Production details'!B74</f>
        <v>0</v>
      </c>
      <c r="C20" s="78">
        <f>'10.Grain Production details'!C74</f>
        <v>0</v>
      </c>
      <c r="D20" s="78">
        <f>'10.Grain Production details'!D74</f>
        <v>0</v>
      </c>
      <c r="E20" s="78">
        <f>'10.Grain Production details'!E74</f>
        <v>0</v>
      </c>
      <c r="F20" s="78">
        <f>'10.Grain Production details'!F74</f>
        <v>0</v>
      </c>
      <c r="G20" s="78">
        <f>'10.Grain Production details'!G74</f>
        <v>0</v>
      </c>
      <c r="H20" s="78">
        <f>'10.Grain Production details'!H74</f>
        <v>0</v>
      </c>
    </row>
    <row r="21" spans="1:8" ht="15.75" customHeight="1">
      <c r="A21" s="78" t="str">
        <f>'10.Grain Production details'!A75</f>
        <v>Sunflower</v>
      </c>
      <c r="B21" s="78">
        <f>'10.Grain Production details'!B75</f>
        <v>0</v>
      </c>
      <c r="C21" s="78">
        <f>'10.Grain Production details'!C75</f>
        <v>0</v>
      </c>
      <c r="D21" s="78">
        <f>'10.Grain Production details'!D75</f>
        <v>0</v>
      </c>
      <c r="E21" s="78">
        <f>'10.Grain Production details'!E75</f>
        <v>0</v>
      </c>
      <c r="F21" s="78">
        <f>'10.Grain Production details'!F75</f>
        <v>0</v>
      </c>
      <c r="G21" s="78">
        <f>'10.Grain Production details'!G75</f>
        <v>0</v>
      </c>
      <c r="H21" s="78">
        <f>'10.Grain Production details'!H75</f>
        <v>0</v>
      </c>
    </row>
    <row r="22" spans="1:8" ht="15.75" customHeight="1">
      <c r="A22" s="78" t="str">
        <f>'10.Grain Production details'!A76</f>
        <v>Wheat</v>
      </c>
      <c r="B22" s="78">
        <f>'10.Grain Production details'!B76</f>
        <v>0</v>
      </c>
      <c r="C22" s="78">
        <f>'10.Grain Production details'!C76</f>
        <v>0</v>
      </c>
      <c r="D22" s="78">
        <f>'10.Grain Production details'!D76</f>
        <v>0</v>
      </c>
      <c r="E22" s="78">
        <f>'10.Grain Production details'!E76</f>
        <v>0</v>
      </c>
      <c r="F22" s="78">
        <f>'10.Grain Production details'!F76</f>
        <v>0</v>
      </c>
      <c r="G22" s="78">
        <f>'10.Grain Production details'!G76</f>
        <v>0</v>
      </c>
      <c r="H22" s="78">
        <f>'10.Grain Production details'!H76</f>
        <v>0</v>
      </c>
    </row>
    <row r="23" spans="1:8" ht="15.75" customHeight="1">
      <c r="A23" s="78" t="str">
        <f>'10.Grain Production details'!A77</f>
        <v>Bengal Gram/Channa</v>
      </c>
      <c r="B23" s="78">
        <f>'10.Grain Production details'!B77</f>
        <v>0</v>
      </c>
      <c r="C23" s="78">
        <f>'10.Grain Production details'!C77</f>
        <v>0</v>
      </c>
      <c r="D23" s="78">
        <f>'10.Grain Production details'!D77</f>
        <v>0</v>
      </c>
      <c r="E23" s="78">
        <f>'10.Grain Production details'!E77</f>
        <v>0</v>
      </c>
      <c r="F23" s="78">
        <f>'10.Grain Production details'!F77</f>
        <v>0</v>
      </c>
      <c r="G23" s="78">
        <f>'10.Grain Production details'!G77</f>
        <v>0</v>
      </c>
      <c r="H23" s="78">
        <f>'10.Grain Production details'!H77</f>
        <v>0</v>
      </c>
    </row>
    <row r="24" spans="1:8" ht="15.75" customHeight="1">
      <c r="A24" s="78" t="str">
        <f>'10.Grain Production details'!A78</f>
        <v>Jawar</v>
      </c>
      <c r="B24" s="78">
        <f>'10.Grain Production details'!B78</f>
        <v>0</v>
      </c>
      <c r="C24" s="78">
        <f>'10.Grain Production details'!C78</f>
        <v>0</v>
      </c>
      <c r="D24" s="78">
        <f>'10.Grain Production details'!D78</f>
        <v>0</v>
      </c>
      <c r="E24" s="78">
        <f>'10.Grain Production details'!E78</f>
        <v>0</v>
      </c>
      <c r="F24" s="78">
        <f>'10.Grain Production details'!F78</f>
        <v>0</v>
      </c>
      <c r="G24" s="78">
        <f>'10.Grain Production details'!G78</f>
        <v>0</v>
      </c>
      <c r="H24" s="78">
        <f>'10.Grain Production details'!H78</f>
        <v>0</v>
      </c>
    </row>
    <row r="25" spans="1:8" ht="15.75" customHeight="1">
      <c r="A25" s="78" t="str">
        <f>'10.Grain Production details'!A79</f>
        <v>Maize</v>
      </c>
      <c r="B25" s="78">
        <f>'10.Grain Production details'!B79</f>
        <v>0</v>
      </c>
      <c r="C25" s="78">
        <f>'10.Grain Production details'!C79</f>
        <v>0</v>
      </c>
      <c r="D25" s="78">
        <f>'10.Grain Production details'!D79</f>
        <v>0</v>
      </c>
      <c r="E25" s="78">
        <f>'10.Grain Production details'!E79</f>
        <v>0</v>
      </c>
      <c r="F25" s="78">
        <f>'10.Grain Production details'!F79</f>
        <v>0</v>
      </c>
      <c r="G25" s="78">
        <f>'10.Grain Production details'!G79</f>
        <v>0</v>
      </c>
      <c r="H25" s="78">
        <f>'10.Grain Production details'!H79</f>
        <v>0</v>
      </c>
    </row>
    <row r="26" spans="1:8" ht="15.75" customHeight="1">
      <c r="A26" s="78" t="str">
        <f>'10.Grain Production details'!A80</f>
        <v>Safflower</v>
      </c>
      <c r="B26" s="78">
        <f>'10.Grain Production details'!B80</f>
        <v>0</v>
      </c>
      <c r="C26" s="78">
        <f>'10.Grain Production details'!C80</f>
        <v>0</v>
      </c>
      <c r="D26" s="78">
        <f>'10.Grain Production details'!D80</f>
        <v>0</v>
      </c>
      <c r="E26" s="78">
        <f>'10.Grain Production details'!E80</f>
        <v>0</v>
      </c>
      <c r="F26" s="78">
        <f>'10.Grain Production details'!F80</f>
        <v>0</v>
      </c>
      <c r="G26" s="78">
        <f>'10.Grain Production details'!G80</f>
        <v>0</v>
      </c>
      <c r="H26" s="78">
        <f>'10.Grain Production details'!H80</f>
        <v>0</v>
      </c>
    </row>
    <row r="27" spans="1:8" ht="15.75" customHeight="1">
      <c r="A27" s="78">
        <f>'10.Grain Production details'!A81</f>
        <v>0</v>
      </c>
      <c r="B27" s="78">
        <f>'10.Grain Production details'!B81</f>
        <v>0</v>
      </c>
      <c r="C27" s="78">
        <f>'10.Grain Production details'!C81</f>
        <v>0</v>
      </c>
      <c r="D27" s="78">
        <f>'10.Grain Production details'!D81</f>
        <v>0</v>
      </c>
      <c r="E27" s="78">
        <f>'10.Grain Production details'!E81</f>
        <v>0</v>
      </c>
      <c r="F27" s="78">
        <f>'10.Grain Production details'!F81</f>
        <v>0</v>
      </c>
      <c r="G27" s="78">
        <f>'10.Grain Production details'!G81</f>
        <v>0</v>
      </c>
      <c r="H27" s="78">
        <f>'10.Grain Production details'!H81</f>
        <v>0</v>
      </c>
    </row>
    <row r="28" spans="1:8" ht="15.75" customHeight="1">
      <c r="A28" s="78">
        <f>'10.Grain Production details'!A82</f>
        <v>0</v>
      </c>
      <c r="B28" s="78">
        <f>'10.Grain Production details'!B82</f>
        <v>0</v>
      </c>
      <c r="C28" s="78">
        <f>'10.Grain Production details'!C82</f>
        <v>0</v>
      </c>
      <c r="D28" s="78">
        <f>'10.Grain Production details'!D82</f>
        <v>0</v>
      </c>
      <c r="E28" s="78">
        <f>'10.Grain Production details'!E82</f>
        <v>0</v>
      </c>
      <c r="F28" s="78">
        <f>'10.Grain Production details'!F82</f>
        <v>0</v>
      </c>
      <c r="G28" s="78">
        <f>'10.Grain Production details'!G82</f>
        <v>0</v>
      </c>
      <c r="H28" s="78">
        <f>'10.Grain Production details'!H82</f>
        <v>0</v>
      </c>
    </row>
    <row r="29" spans="1:8" ht="15.75" customHeight="1">
      <c r="A29" s="78">
        <f>'10.Grain Production details'!A83</f>
        <v>0</v>
      </c>
      <c r="B29" s="78">
        <f>'10.Grain Production details'!B83</f>
        <v>0</v>
      </c>
      <c r="C29" s="78">
        <f>'10.Grain Production details'!C83</f>
        <v>0</v>
      </c>
      <c r="D29" s="78">
        <f>'10.Grain Production details'!D83</f>
        <v>0</v>
      </c>
      <c r="E29" s="78">
        <f>'10.Grain Production details'!E83</f>
        <v>0</v>
      </c>
      <c r="F29" s="78">
        <f>'10.Grain Production details'!F83</f>
        <v>0</v>
      </c>
      <c r="G29" s="78">
        <f>'10.Grain Production details'!G83</f>
        <v>0</v>
      </c>
      <c r="H29" s="78">
        <f>'10.Grain Production details'!H83</f>
        <v>0</v>
      </c>
    </row>
    <row r="30" spans="1:8" ht="15.75" customHeight="1">
      <c r="A30" s="78" t="str">
        <f>'10.Grain Production details'!A84</f>
        <v>Groundnut</v>
      </c>
      <c r="B30" s="78">
        <f>'10.Grain Production details'!B84</f>
        <v>0</v>
      </c>
      <c r="C30" s="78">
        <f>'10.Grain Production details'!C84</f>
        <v>0</v>
      </c>
      <c r="D30" s="78">
        <f>'10.Grain Production details'!D84</f>
        <v>0</v>
      </c>
      <c r="E30" s="78">
        <f>'10.Grain Production details'!E84</f>
        <v>0</v>
      </c>
      <c r="F30" s="78">
        <f>'10.Grain Production details'!F84</f>
        <v>0</v>
      </c>
      <c r="G30" s="78">
        <f>'10.Grain Production details'!G84</f>
        <v>0</v>
      </c>
      <c r="H30" s="78">
        <f>'10.Grain Production details'!H84</f>
        <v>0</v>
      </c>
    </row>
    <row r="31" spans="1:8" ht="15.75" customHeight="1">
      <c r="A31" s="78">
        <f>'10.Grain Production details'!A85</f>
        <v>0</v>
      </c>
      <c r="B31" s="78">
        <f>'10.Grain Production details'!B85</f>
        <v>0</v>
      </c>
      <c r="C31" s="78">
        <f>'10.Grain Production details'!C85</f>
        <v>0</v>
      </c>
      <c r="D31" s="78">
        <f>'10.Grain Production details'!D85</f>
        <v>0</v>
      </c>
      <c r="E31" s="78">
        <f>'10.Grain Production details'!E85</f>
        <v>0</v>
      </c>
      <c r="F31" s="78">
        <f>'10.Grain Production details'!F85</f>
        <v>0</v>
      </c>
      <c r="G31" s="78">
        <f>'10.Grain Production details'!G85</f>
        <v>0</v>
      </c>
      <c r="H31" s="78">
        <f>'10.Grain Production details'!H85</f>
        <v>0</v>
      </c>
    </row>
    <row r="32" spans="1:8" ht="15.75" customHeight="1">
      <c r="A32" s="78" t="s">
        <v>591</v>
      </c>
      <c r="B32" s="78">
        <f>SUM(B13:B31)</f>
        <v>55788.75</v>
      </c>
      <c r="C32" s="78">
        <f t="shared" ref="C32:H32" si="1">SUM(C13:C31)</f>
        <v>58578.187500000007</v>
      </c>
      <c r="D32" s="78">
        <f t="shared" si="1"/>
        <v>61507.096875000003</v>
      </c>
      <c r="E32" s="78">
        <f t="shared" si="1"/>
        <v>64582.45171875001</v>
      </c>
      <c r="F32" s="78">
        <f t="shared" si="1"/>
        <v>67811.574304687514</v>
      </c>
      <c r="G32" s="78">
        <f t="shared" si="1"/>
        <v>71202.153019921883</v>
      </c>
      <c r="H32" s="78">
        <f t="shared" si="1"/>
        <v>74762.260670917982</v>
      </c>
    </row>
    <row r="33" spans="1:8" ht="15.75" customHeight="1">
      <c r="A33" s="276" t="s">
        <v>720</v>
      </c>
      <c r="B33" s="140">
        <v>0</v>
      </c>
      <c r="C33" s="140">
        <f t="shared" ref="C33:H33" si="2">B33</f>
        <v>0</v>
      </c>
      <c r="D33" s="140">
        <f t="shared" si="2"/>
        <v>0</v>
      </c>
      <c r="E33" s="140">
        <f t="shared" si="2"/>
        <v>0</v>
      </c>
      <c r="F33" s="140">
        <f t="shared" si="2"/>
        <v>0</v>
      </c>
      <c r="G33" s="140">
        <f t="shared" si="2"/>
        <v>0</v>
      </c>
      <c r="H33" s="140">
        <f t="shared" si="2"/>
        <v>0</v>
      </c>
    </row>
    <row r="34" spans="1:8" ht="15.75" customHeight="1">
      <c r="A34" s="78" t="s">
        <v>592</v>
      </c>
      <c r="B34" s="132">
        <f t="shared" ref="B34:H34" si="3">1-B33</f>
        <v>1</v>
      </c>
      <c r="C34" s="132">
        <f t="shared" si="3"/>
        <v>1</v>
      </c>
      <c r="D34" s="132">
        <f t="shared" si="3"/>
        <v>1</v>
      </c>
      <c r="E34" s="132">
        <f t="shared" si="3"/>
        <v>1</v>
      </c>
      <c r="F34" s="132">
        <f t="shared" si="3"/>
        <v>1</v>
      </c>
      <c r="G34" s="132">
        <f t="shared" si="3"/>
        <v>1</v>
      </c>
      <c r="H34" s="132">
        <f t="shared" si="3"/>
        <v>1</v>
      </c>
    </row>
    <row r="35" spans="1:8" ht="15.75" customHeight="1">
      <c r="A35" s="81" t="s">
        <v>720</v>
      </c>
      <c r="B35" s="272">
        <f t="shared" ref="B35:H35" si="4">B32*B33</f>
        <v>0</v>
      </c>
      <c r="C35" s="272">
        <f t="shared" si="4"/>
        <v>0</v>
      </c>
      <c r="D35" s="272">
        <f t="shared" si="4"/>
        <v>0</v>
      </c>
      <c r="E35" s="272">
        <f t="shared" si="4"/>
        <v>0</v>
      </c>
      <c r="F35" s="272">
        <f t="shared" si="4"/>
        <v>0</v>
      </c>
      <c r="G35" s="272">
        <f t="shared" si="4"/>
        <v>0</v>
      </c>
      <c r="H35" s="272">
        <f t="shared" si="4"/>
        <v>0</v>
      </c>
    </row>
    <row r="36" spans="1:8" ht="15.75" customHeight="1">
      <c r="A36" s="81" t="s">
        <v>721</v>
      </c>
      <c r="B36" s="82"/>
      <c r="C36" s="82"/>
      <c r="D36" s="82"/>
      <c r="E36" s="82"/>
      <c r="F36" s="82"/>
      <c r="G36" s="82"/>
      <c r="H36" s="82"/>
    </row>
    <row r="37" spans="1:8" ht="15.75" customHeight="1">
      <c r="A37" s="78" t="str">
        <f t="shared" ref="A37:A55" si="5">A13</f>
        <v>Soybean</v>
      </c>
      <c r="B37" s="80">
        <f t="shared" ref="B37:H37" si="6">B13*$B$34</f>
        <v>0</v>
      </c>
      <c r="C37" s="80">
        <f t="shared" si="6"/>
        <v>0</v>
      </c>
      <c r="D37" s="80">
        <f t="shared" si="6"/>
        <v>0</v>
      </c>
      <c r="E37" s="80">
        <f t="shared" si="6"/>
        <v>0</v>
      </c>
      <c r="F37" s="80">
        <f t="shared" si="6"/>
        <v>0</v>
      </c>
      <c r="G37" s="80">
        <f t="shared" si="6"/>
        <v>0</v>
      </c>
      <c r="H37" s="80">
        <f t="shared" si="6"/>
        <v>0</v>
      </c>
    </row>
    <row r="38" spans="1:8" ht="15.75" customHeight="1">
      <c r="A38" s="78" t="str">
        <f t="shared" si="5"/>
        <v>Red Gram/Tur</v>
      </c>
      <c r="B38" s="80">
        <f t="shared" ref="B38:B55" si="7">B14*$B$34</f>
        <v>0</v>
      </c>
      <c r="C38" s="80">
        <f t="shared" ref="C38:C55" si="8">C14*$C$34</f>
        <v>0</v>
      </c>
      <c r="D38" s="80">
        <f t="shared" ref="D38:D55" si="9">D14*$D$34</f>
        <v>0</v>
      </c>
      <c r="E38" s="80">
        <f t="shared" ref="E38:E55" si="10">E14*$E$34</f>
        <v>0</v>
      </c>
      <c r="F38" s="80">
        <f t="shared" ref="F38:F55" si="11">F14*$F$34</f>
        <v>0</v>
      </c>
      <c r="G38" s="80">
        <f t="shared" ref="G38:G55" si="12">G14*$G$34</f>
        <v>0</v>
      </c>
      <c r="H38" s="80">
        <f t="shared" ref="H38:H55" si="13">H14*$H$34</f>
        <v>0</v>
      </c>
    </row>
    <row r="39" spans="1:8" ht="15.75" customHeight="1">
      <c r="A39" s="78" t="str">
        <f t="shared" si="5"/>
        <v>Paddy/Rice</v>
      </c>
      <c r="B39" s="80">
        <f>B15*$B$34</f>
        <v>55788.75</v>
      </c>
      <c r="C39" s="80">
        <f t="shared" si="8"/>
        <v>58578.187500000007</v>
      </c>
      <c r="D39" s="80">
        <f t="shared" si="9"/>
        <v>61507.096875000003</v>
      </c>
      <c r="E39" s="80">
        <f t="shared" si="10"/>
        <v>64582.45171875001</v>
      </c>
      <c r="F39" s="80">
        <f t="shared" si="11"/>
        <v>67811.574304687514</v>
      </c>
      <c r="G39" s="80">
        <f t="shared" si="12"/>
        <v>71202.153019921883</v>
      </c>
      <c r="H39" s="80">
        <f t="shared" si="13"/>
        <v>74762.260670917982</v>
      </c>
    </row>
    <row r="40" spans="1:8" ht="15.75" customHeight="1">
      <c r="A40" s="78" t="str">
        <f t="shared" si="5"/>
        <v>Green Gram/ Moong</v>
      </c>
      <c r="B40" s="80">
        <f t="shared" si="7"/>
        <v>0</v>
      </c>
      <c r="C40" s="80">
        <f t="shared" si="8"/>
        <v>0</v>
      </c>
      <c r="D40" s="80">
        <f t="shared" si="9"/>
        <v>0</v>
      </c>
      <c r="E40" s="80">
        <f t="shared" si="10"/>
        <v>0</v>
      </c>
      <c r="F40" s="80">
        <f t="shared" si="11"/>
        <v>0</v>
      </c>
      <c r="G40" s="80">
        <f t="shared" si="12"/>
        <v>0</v>
      </c>
      <c r="H40" s="80">
        <f t="shared" si="13"/>
        <v>0</v>
      </c>
    </row>
    <row r="41" spans="1:8" ht="15.75" customHeight="1">
      <c r="A41" s="78" t="str">
        <f t="shared" si="5"/>
        <v>Maize</v>
      </c>
      <c r="B41" s="80">
        <f t="shared" si="7"/>
        <v>0</v>
      </c>
      <c r="C41" s="80">
        <f t="shared" si="8"/>
        <v>0</v>
      </c>
      <c r="D41" s="80">
        <f t="shared" si="9"/>
        <v>0</v>
      </c>
      <c r="E41" s="80">
        <f t="shared" si="10"/>
        <v>0</v>
      </c>
      <c r="F41" s="80">
        <f t="shared" si="11"/>
        <v>0</v>
      </c>
      <c r="G41" s="80">
        <f t="shared" si="12"/>
        <v>0</v>
      </c>
      <c r="H41" s="80">
        <f t="shared" si="13"/>
        <v>0</v>
      </c>
    </row>
    <row r="42" spans="1:8" ht="15.75" customHeight="1">
      <c r="A42" s="78" t="str">
        <f t="shared" si="5"/>
        <v>Black Gram/Udid</v>
      </c>
      <c r="B42" s="80">
        <f t="shared" si="7"/>
        <v>0</v>
      </c>
      <c r="C42" s="80">
        <f t="shared" si="8"/>
        <v>0</v>
      </c>
      <c r="D42" s="80">
        <f t="shared" si="9"/>
        <v>0</v>
      </c>
      <c r="E42" s="80">
        <f t="shared" si="10"/>
        <v>0</v>
      </c>
      <c r="F42" s="80">
        <f t="shared" si="11"/>
        <v>0</v>
      </c>
      <c r="G42" s="80">
        <f t="shared" si="12"/>
        <v>0</v>
      </c>
      <c r="H42" s="80">
        <f t="shared" si="13"/>
        <v>0</v>
      </c>
    </row>
    <row r="43" spans="1:8" ht="15.75" customHeight="1">
      <c r="A43" s="78" t="str">
        <f t="shared" si="5"/>
        <v>Bajra</v>
      </c>
      <c r="B43" s="80">
        <f t="shared" si="7"/>
        <v>0</v>
      </c>
      <c r="C43" s="80">
        <f t="shared" si="8"/>
        <v>0</v>
      </c>
      <c r="D43" s="80">
        <f t="shared" si="9"/>
        <v>0</v>
      </c>
      <c r="E43" s="80">
        <f t="shared" si="10"/>
        <v>0</v>
      </c>
      <c r="F43" s="80">
        <f t="shared" si="11"/>
        <v>0</v>
      </c>
      <c r="G43" s="80">
        <f t="shared" si="12"/>
        <v>0</v>
      </c>
      <c r="H43" s="80">
        <f t="shared" si="13"/>
        <v>0</v>
      </c>
    </row>
    <row r="44" spans="1:8" ht="15.75" customHeight="1">
      <c r="A44" s="78" t="str">
        <f t="shared" si="5"/>
        <v>Jawar</v>
      </c>
      <c r="B44" s="80">
        <f t="shared" si="7"/>
        <v>0</v>
      </c>
      <c r="C44" s="80">
        <f t="shared" si="8"/>
        <v>0</v>
      </c>
      <c r="D44" s="80">
        <f t="shared" si="9"/>
        <v>0</v>
      </c>
      <c r="E44" s="80">
        <f t="shared" si="10"/>
        <v>0</v>
      </c>
      <c r="F44" s="80">
        <f t="shared" si="11"/>
        <v>0</v>
      </c>
      <c r="G44" s="80">
        <f t="shared" si="12"/>
        <v>0</v>
      </c>
      <c r="H44" s="80">
        <f t="shared" si="13"/>
        <v>0</v>
      </c>
    </row>
    <row r="45" spans="1:8" ht="15.75" customHeight="1">
      <c r="A45" s="78" t="str">
        <f t="shared" si="5"/>
        <v>Sunflower</v>
      </c>
      <c r="B45" s="80">
        <f t="shared" si="7"/>
        <v>0</v>
      </c>
      <c r="C45" s="80">
        <f t="shared" si="8"/>
        <v>0</v>
      </c>
      <c r="D45" s="80">
        <f t="shared" si="9"/>
        <v>0</v>
      </c>
      <c r="E45" s="80">
        <f t="shared" si="10"/>
        <v>0</v>
      </c>
      <c r="F45" s="80">
        <f t="shared" si="11"/>
        <v>0</v>
      </c>
      <c r="G45" s="80">
        <f t="shared" si="12"/>
        <v>0</v>
      </c>
      <c r="H45" s="80">
        <f t="shared" si="13"/>
        <v>0</v>
      </c>
    </row>
    <row r="46" spans="1:8" ht="15.75" customHeight="1">
      <c r="A46" s="78" t="str">
        <f t="shared" si="5"/>
        <v>Wheat</v>
      </c>
      <c r="B46" s="80">
        <f t="shared" si="7"/>
        <v>0</v>
      </c>
      <c r="C46" s="80">
        <f t="shared" si="8"/>
        <v>0</v>
      </c>
      <c r="D46" s="80">
        <f t="shared" si="9"/>
        <v>0</v>
      </c>
      <c r="E46" s="80">
        <f t="shared" si="10"/>
        <v>0</v>
      </c>
      <c r="F46" s="80">
        <f t="shared" si="11"/>
        <v>0</v>
      </c>
      <c r="G46" s="80">
        <f t="shared" si="12"/>
        <v>0</v>
      </c>
      <c r="H46" s="80">
        <f t="shared" si="13"/>
        <v>0</v>
      </c>
    </row>
    <row r="47" spans="1:8" ht="15.75" customHeight="1">
      <c r="A47" s="78" t="str">
        <f t="shared" si="5"/>
        <v>Bengal Gram/Channa</v>
      </c>
      <c r="B47" s="80">
        <f t="shared" si="7"/>
        <v>0</v>
      </c>
      <c r="C47" s="80">
        <f t="shared" si="8"/>
        <v>0</v>
      </c>
      <c r="D47" s="80">
        <f t="shared" si="9"/>
        <v>0</v>
      </c>
      <c r="E47" s="80">
        <f t="shared" si="10"/>
        <v>0</v>
      </c>
      <c r="F47" s="80">
        <f t="shared" si="11"/>
        <v>0</v>
      </c>
      <c r="G47" s="80">
        <f t="shared" si="12"/>
        <v>0</v>
      </c>
      <c r="H47" s="80">
        <f t="shared" si="13"/>
        <v>0</v>
      </c>
    </row>
    <row r="48" spans="1:8" ht="15.75" customHeight="1">
      <c r="A48" s="78" t="str">
        <f t="shared" si="5"/>
        <v>Jawar</v>
      </c>
      <c r="B48" s="80">
        <f t="shared" si="7"/>
        <v>0</v>
      </c>
      <c r="C48" s="80">
        <f t="shared" si="8"/>
        <v>0</v>
      </c>
      <c r="D48" s="80">
        <f t="shared" si="9"/>
        <v>0</v>
      </c>
      <c r="E48" s="80">
        <f t="shared" si="10"/>
        <v>0</v>
      </c>
      <c r="F48" s="80">
        <f t="shared" si="11"/>
        <v>0</v>
      </c>
      <c r="G48" s="80">
        <f t="shared" si="12"/>
        <v>0</v>
      </c>
      <c r="H48" s="80">
        <f t="shared" si="13"/>
        <v>0</v>
      </c>
    </row>
    <row r="49" spans="1:8" ht="15.75" customHeight="1">
      <c r="A49" s="78" t="str">
        <f t="shared" si="5"/>
        <v>Maize</v>
      </c>
      <c r="B49" s="80">
        <f t="shared" si="7"/>
        <v>0</v>
      </c>
      <c r="C49" s="80">
        <f t="shared" si="8"/>
        <v>0</v>
      </c>
      <c r="D49" s="80">
        <f t="shared" si="9"/>
        <v>0</v>
      </c>
      <c r="E49" s="80">
        <f t="shared" si="10"/>
        <v>0</v>
      </c>
      <c r="F49" s="80">
        <f t="shared" si="11"/>
        <v>0</v>
      </c>
      <c r="G49" s="80">
        <f t="shared" si="12"/>
        <v>0</v>
      </c>
      <c r="H49" s="80">
        <f t="shared" si="13"/>
        <v>0</v>
      </c>
    </row>
    <row r="50" spans="1:8" ht="15.75" customHeight="1">
      <c r="A50" s="78" t="str">
        <f t="shared" si="5"/>
        <v>Safflower</v>
      </c>
      <c r="B50" s="80">
        <f t="shared" si="7"/>
        <v>0</v>
      </c>
      <c r="C50" s="80">
        <f t="shared" si="8"/>
        <v>0</v>
      </c>
      <c r="D50" s="80">
        <f t="shared" si="9"/>
        <v>0</v>
      </c>
      <c r="E50" s="80">
        <f t="shared" si="10"/>
        <v>0</v>
      </c>
      <c r="F50" s="80">
        <f t="shared" si="11"/>
        <v>0</v>
      </c>
      <c r="G50" s="80">
        <f t="shared" si="12"/>
        <v>0</v>
      </c>
      <c r="H50" s="80">
        <f t="shared" si="13"/>
        <v>0</v>
      </c>
    </row>
    <row r="51" spans="1:8" ht="15.75" customHeight="1">
      <c r="A51" s="78">
        <f t="shared" si="5"/>
        <v>0</v>
      </c>
      <c r="B51" s="80">
        <f t="shared" si="7"/>
        <v>0</v>
      </c>
      <c r="C51" s="80">
        <f t="shared" si="8"/>
        <v>0</v>
      </c>
      <c r="D51" s="80">
        <f t="shared" si="9"/>
        <v>0</v>
      </c>
      <c r="E51" s="80">
        <f t="shared" si="10"/>
        <v>0</v>
      </c>
      <c r="F51" s="80">
        <f t="shared" si="11"/>
        <v>0</v>
      </c>
      <c r="G51" s="80">
        <f t="shared" si="12"/>
        <v>0</v>
      </c>
      <c r="H51" s="80">
        <f t="shared" si="13"/>
        <v>0</v>
      </c>
    </row>
    <row r="52" spans="1:8" ht="15.75" customHeight="1">
      <c r="A52" s="78">
        <f t="shared" si="5"/>
        <v>0</v>
      </c>
      <c r="B52" s="80">
        <f t="shared" si="7"/>
        <v>0</v>
      </c>
      <c r="C52" s="80">
        <f t="shared" si="8"/>
        <v>0</v>
      </c>
      <c r="D52" s="80">
        <f t="shared" si="9"/>
        <v>0</v>
      </c>
      <c r="E52" s="80">
        <f t="shared" si="10"/>
        <v>0</v>
      </c>
      <c r="F52" s="80">
        <f t="shared" si="11"/>
        <v>0</v>
      </c>
      <c r="G52" s="80">
        <f t="shared" si="12"/>
        <v>0</v>
      </c>
      <c r="H52" s="80">
        <f t="shared" si="13"/>
        <v>0</v>
      </c>
    </row>
    <row r="53" spans="1:8" ht="15.75" customHeight="1">
      <c r="A53" s="78">
        <f t="shared" si="5"/>
        <v>0</v>
      </c>
      <c r="B53" s="80">
        <f t="shared" si="7"/>
        <v>0</v>
      </c>
      <c r="C53" s="80">
        <f t="shared" si="8"/>
        <v>0</v>
      </c>
      <c r="D53" s="80">
        <f t="shared" si="9"/>
        <v>0</v>
      </c>
      <c r="E53" s="80">
        <f t="shared" si="10"/>
        <v>0</v>
      </c>
      <c r="F53" s="80">
        <f t="shared" si="11"/>
        <v>0</v>
      </c>
      <c r="G53" s="80">
        <f t="shared" si="12"/>
        <v>0</v>
      </c>
      <c r="H53" s="80">
        <f t="shared" si="13"/>
        <v>0</v>
      </c>
    </row>
    <row r="54" spans="1:8" ht="15.75" customHeight="1">
      <c r="A54" s="78" t="str">
        <f t="shared" si="5"/>
        <v>Groundnut</v>
      </c>
      <c r="B54" s="80">
        <f t="shared" si="7"/>
        <v>0</v>
      </c>
      <c r="C54" s="80">
        <f t="shared" si="8"/>
        <v>0</v>
      </c>
      <c r="D54" s="80">
        <f t="shared" si="9"/>
        <v>0</v>
      </c>
      <c r="E54" s="80">
        <f t="shared" si="10"/>
        <v>0</v>
      </c>
      <c r="F54" s="80">
        <f t="shared" si="11"/>
        <v>0</v>
      </c>
      <c r="G54" s="80">
        <f t="shared" si="12"/>
        <v>0</v>
      </c>
      <c r="H54" s="80">
        <f t="shared" si="13"/>
        <v>0</v>
      </c>
    </row>
    <row r="55" spans="1:8" ht="15.75" customHeight="1">
      <c r="A55" s="78">
        <f t="shared" si="5"/>
        <v>0</v>
      </c>
      <c r="B55" s="80">
        <f t="shared" si="7"/>
        <v>0</v>
      </c>
      <c r="C55" s="80">
        <f t="shared" si="8"/>
        <v>0</v>
      </c>
      <c r="D55" s="80">
        <f t="shared" si="9"/>
        <v>0</v>
      </c>
      <c r="E55" s="80">
        <f t="shared" si="10"/>
        <v>0</v>
      </c>
      <c r="F55" s="80">
        <f t="shared" si="11"/>
        <v>0</v>
      </c>
      <c r="G55" s="80">
        <f t="shared" si="12"/>
        <v>0</v>
      </c>
      <c r="H55" s="80">
        <f t="shared" si="13"/>
        <v>0</v>
      </c>
    </row>
    <row r="56" spans="1:8" ht="15.75" customHeight="1">
      <c r="A56" s="78"/>
      <c r="B56" s="78"/>
      <c r="C56" s="78"/>
      <c r="D56" s="78"/>
      <c r="E56" s="78"/>
      <c r="F56" s="78"/>
      <c r="G56" s="78"/>
      <c r="H56" s="78"/>
    </row>
    <row r="57" spans="1:8" ht="15.75" customHeight="1">
      <c r="A57" s="81" t="s">
        <v>593</v>
      </c>
      <c r="B57" s="78"/>
      <c r="C57" s="78"/>
      <c r="D57" s="78"/>
      <c r="E57" s="78"/>
      <c r="F57" s="78"/>
      <c r="G57" s="78"/>
      <c r="H57" s="78"/>
    </row>
    <row r="58" spans="1:8" ht="15.75" customHeight="1">
      <c r="A58" s="78" t="str">
        <f>A37</f>
        <v>Soybean</v>
      </c>
      <c r="B58" s="78"/>
      <c r="C58" s="78"/>
      <c r="D58" s="78"/>
      <c r="E58" s="78"/>
      <c r="F58" s="78"/>
      <c r="G58" s="78"/>
      <c r="H58" s="78"/>
    </row>
    <row r="59" spans="1:8" ht="15.75" customHeight="1">
      <c r="A59" s="78"/>
      <c r="B59" s="78"/>
      <c r="C59" s="78"/>
      <c r="D59" s="78"/>
      <c r="E59" s="78"/>
      <c r="F59" s="78"/>
      <c r="G59" s="78"/>
      <c r="H59" s="78"/>
    </row>
    <row r="60" spans="1:8" ht="15.75" customHeight="1">
      <c r="A60" s="78"/>
      <c r="B60" s="78"/>
      <c r="C60" s="78"/>
      <c r="D60" s="78"/>
      <c r="E60" s="78"/>
      <c r="F60" s="78"/>
      <c r="G60" s="78"/>
      <c r="H60" s="78"/>
    </row>
    <row r="61" spans="1:8" ht="15.75" customHeight="1">
      <c r="A61" s="78"/>
      <c r="B61" s="78"/>
      <c r="C61" s="78"/>
      <c r="D61" s="78"/>
      <c r="E61" s="78"/>
      <c r="F61" s="78"/>
      <c r="G61" s="78"/>
      <c r="H61" s="78"/>
    </row>
    <row r="62" spans="1:8" ht="15.75" customHeight="1">
      <c r="A62" s="78" t="str">
        <f>A38</f>
        <v>Red Gram/Tur</v>
      </c>
      <c r="B62" s="239"/>
      <c r="C62" s="239"/>
      <c r="D62" s="239"/>
      <c r="E62" s="239"/>
      <c r="F62" s="239"/>
      <c r="G62" s="239"/>
      <c r="H62" s="239"/>
    </row>
    <row r="63" spans="1:8" ht="15.75" customHeight="1">
      <c r="A63" s="78" t="s">
        <v>594</v>
      </c>
      <c r="B63" s="239">
        <f>B38*80%</f>
        <v>0</v>
      </c>
      <c r="C63" s="239">
        <f t="shared" ref="C63:H63" si="14">C38*80%</f>
        <v>0</v>
      </c>
      <c r="D63" s="239">
        <f t="shared" si="14"/>
        <v>0</v>
      </c>
      <c r="E63" s="239">
        <f t="shared" si="14"/>
        <v>0</v>
      </c>
      <c r="F63" s="239">
        <f t="shared" si="14"/>
        <v>0</v>
      </c>
      <c r="G63" s="239">
        <f t="shared" si="14"/>
        <v>0</v>
      </c>
      <c r="H63" s="239">
        <f t="shared" si="14"/>
        <v>0</v>
      </c>
    </row>
    <row r="64" spans="1:8" ht="15.75" customHeight="1">
      <c r="A64" s="78" t="s">
        <v>595</v>
      </c>
      <c r="B64" s="239">
        <f t="shared" ref="B64:H64" si="15">B38*20%</f>
        <v>0</v>
      </c>
      <c r="C64" s="239">
        <f t="shared" si="15"/>
        <v>0</v>
      </c>
      <c r="D64" s="239">
        <f t="shared" si="15"/>
        <v>0</v>
      </c>
      <c r="E64" s="239">
        <f t="shared" si="15"/>
        <v>0</v>
      </c>
      <c r="F64" s="239">
        <f t="shared" si="15"/>
        <v>0</v>
      </c>
      <c r="G64" s="239">
        <f t="shared" si="15"/>
        <v>0</v>
      </c>
      <c r="H64" s="239">
        <f t="shared" si="15"/>
        <v>0</v>
      </c>
    </row>
    <row r="65" spans="1:8" ht="15.75" customHeight="1">
      <c r="A65" s="78"/>
      <c r="B65" s="239"/>
      <c r="C65" s="239"/>
      <c r="D65" s="239"/>
      <c r="E65" s="239"/>
      <c r="F65" s="239"/>
      <c r="G65" s="239"/>
      <c r="H65" s="239"/>
    </row>
    <row r="66" spans="1:8" ht="15.75" customHeight="1">
      <c r="A66" s="78" t="str">
        <f>A39</f>
        <v>Paddy/Rice</v>
      </c>
      <c r="B66" s="80"/>
      <c r="C66" s="80"/>
      <c r="D66" s="80"/>
      <c r="E66" s="80"/>
      <c r="F66" s="80"/>
      <c r="G66" s="80"/>
      <c r="H66" s="80"/>
    </row>
    <row r="67" spans="1:8" ht="15.75" customHeight="1">
      <c r="A67" s="78" t="s">
        <v>724</v>
      </c>
      <c r="B67" s="239">
        <f>B39*65%</f>
        <v>36262.6875</v>
      </c>
      <c r="C67" s="239">
        <f>C39*65%</f>
        <v>38075.821875000009</v>
      </c>
      <c r="D67" s="239">
        <f>D39*65%</f>
        <v>39979.61296875</v>
      </c>
      <c r="E67" s="239">
        <f t="shared" ref="E67:H67" si="16">E39*65%</f>
        <v>41978.593617187507</v>
      </c>
      <c r="F67" s="239">
        <f t="shared" si="16"/>
        <v>44077.523298046886</v>
      </c>
      <c r="G67" s="239">
        <f t="shared" si="16"/>
        <v>46281.399462949223</v>
      </c>
      <c r="H67" s="239">
        <f t="shared" si="16"/>
        <v>48595.46943609669</v>
      </c>
    </row>
    <row r="68" spans="1:8" ht="15.75" customHeight="1">
      <c r="A68" s="78" t="s">
        <v>725</v>
      </c>
      <c r="B68" s="239">
        <f>B39*5%</f>
        <v>2789.4375</v>
      </c>
      <c r="C68" s="239">
        <f>C39*5%</f>
        <v>2928.9093750000006</v>
      </c>
      <c r="D68" s="239">
        <f>D39*5%</f>
        <v>3075.3548437500003</v>
      </c>
      <c r="E68" s="239">
        <f t="shared" ref="E68:H68" si="17">E39*5%</f>
        <v>3229.1225859375008</v>
      </c>
      <c r="F68" s="239">
        <f t="shared" si="17"/>
        <v>3390.578715234376</v>
      </c>
      <c r="G68" s="239">
        <f t="shared" si="17"/>
        <v>3560.1076509960944</v>
      </c>
      <c r="H68" s="239">
        <f t="shared" si="17"/>
        <v>3738.1130335458993</v>
      </c>
    </row>
    <row r="69" spans="1:8" ht="15.75" customHeight="1">
      <c r="A69" s="78" t="s">
        <v>722</v>
      </c>
      <c r="B69" s="239">
        <f>B39*30%</f>
        <v>16736.625</v>
      </c>
      <c r="C69" s="239">
        <f>C39*30%</f>
        <v>17573.456250000003</v>
      </c>
      <c r="D69" s="239">
        <f>D39*30%</f>
        <v>18452.1290625</v>
      </c>
      <c r="E69" s="239">
        <f t="shared" ref="E69:H69" si="18">E39*30%</f>
        <v>19374.735515625001</v>
      </c>
      <c r="F69" s="239">
        <f t="shared" si="18"/>
        <v>20343.472291406255</v>
      </c>
      <c r="G69" s="239">
        <f t="shared" si="18"/>
        <v>21360.645905976566</v>
      </c>
      <c r="H69" s="239">
        <f t="shared" si="18"/>
        <v>22428.678201275394</v>
      </c>
    </row>
    <row r="70" spans="1:8" ht="15.75" customHeight="1">
      <c r="A70" s="78"/>
      <c r="B70" s="80"/>
      <c r="C70" s="80"/>
      <c r="D70" s="80"/>
      <c r="E70" s="80"/>
      <c r="F70" s="80"/>
      <c r="G70" s="80"/>
      <c r="H70" s="80"/>
    </row>
    <row r="71" spans="1:8" ht="15.75" customHeight="1">
      <c r="A71" s="78" t="str">
        <f>A40</f>
        <v>Green Gram/ Moong</v>
      </c>
      <c r="B71" s="80"/>
      <c r="C71" s="80"/>
      <c r="D71" s="80"/>
      <c r="E71" s="80"/>
      <c r="F71" s="80"/>
      <c r="G71" s="80"/>
      <c r="H71" s="80"/>
    </row>
    <row r="72" spans="1:8" ht="15.75" customHeight="1">
      <c r="A72" s="312" t="s">
        <v>594</v>
      </c>
      <c r="B72" s="80">
        <f t="shared" ref="B72:H72" si="19">B40*80%</f>
        <v>0</v>
      </c>
      <c r="C72" s="80">
        <f t="shared" si="19"/>
        <v>0</v>
      </c>
      <c r="D72" s="80">
        <f t="shared" si="19"/>
        <v>0</v>
      </c>
      <c r="E72" s="80">
        <f t="shared" si="19"/>
        <v>0</v>
      </c>
      <c r="F72" s="80">
        <f t="shared" si="19"/>
        <v>0</v>
      </c>
      <c r="G72" s="80">
        <f t="shared" si="19"/>
        <v>0</v>
      </c>
      <c r="H72" s="80">
        <f t="shared" si="19"/>
        <v>0</v>
      </c>
    </row>
    <row r="73" spans="1:8" ht="15.75" customHeight="1">
      <c r="A73" s="78" t="s">
        <v>595</v>
      </c>
      <c r="B73" s="80">
        <f t="shared" ref="B73:H73" si="20">B40*20%</f>
        <v>0</v>
      </c>
      <c r="C73" s="80">
        <f t="shared" si="20"/>
        <v>0</v>
      </c>
      <c r="D73" s="80">
        <f t="shared" si="20"/>
        <v>0</v>
      </c>
      <c r="E73" s="80">
        <f t="shared" si="20"/>
        <v>0</v>
      </c>
      <c r="F73" s="80">
        <f t="shared" si="20"/>
        <v>0</v>
      </c>
      <c r="G73" s="80">
        <f t="shared" si="20"/>
        <v>0</v>
      </c>
      <c r="H73" s="80">
        <f t="shared" si="20"/>
        <v>0</v>
      </c>
    </row>
    <row r="74" spans="1:8" ht="15.75" customHeight="1">
      <c r="A74" s="78" t="str">
        <f>A41</f>
        <v>Maize</v>
      </c>
      <c r="B74" s="80"/>
      <c r="C74" s="80"/>
      <c r="D74" s="80"/>
      <c r="E74" s="80"/>
      <c r="F74" s="80"/>
      <c r="G74" s="80"/>
      <c r="H74" s="80"/>
    </row>
    <row r="75" spans="1:8" ht="15.75" customHeight="1">
      <c r="A75" s="78"/>
      <c r="B75" s="80"/>
      <c r="C75" s="80"/>
      <c r="D75" s="80"/>
      <c r="E75" s="80"/>
      <c r="F75" s="80"/>
      <c r="G75" s="80"/>
      <c r="H75" s="80"/>
    </row>
    <row r="76" spans="1:8" ht="15.75" customHeight="1">
      <c r="A76" s="78"/>
      <c r="B76" s="80"/>
      <c r="C76" s="80"/>
      <c r="D76" s="80"/>
      <c r="E76" s="80"/>
      <c r="F76" s="80"/>
      <c r="G76" s="80"/>
      <c r="H76" s="80"/>
    </row>
    <row r="77" spans="1:8" ht="15.75" customHeight="1">
      <c r="A77" s="78"/>
      <c r="B77" s="80"/>
      <c r="C77" s="80"/>
      <c r="D77" s="80"/>
      <c r="E77" s="80"/>
      <c r="F77" s="80"/>
      <c r="G77" s="80"/>
      <c r="H77" s="80"/>
    </row>
    <row r="78" spans="1:8" ht="15.75" customHeight="1">
      <c r="A78" s="78"/>
      <c r="B78" s="80"/>
      <c r="C78" s="80"/>
      <c r="D78" s="80"/>
      <c r="E78" s="80"/>
      <c r="F78" s="80"/>
      <c r="G78" s="80"/>
      <c r="H78" s="80"/>
    </row>
    <row r="79" spans="1:8" ht="15.75" customHeight="1">
      <c r="A79" s="78" t="str">
        <f>A42</f>
        <v>Black Gram/Udid</v>
      </c>
      <c r="B79" s="80"/>
      <c r="C79" s="80"/>
      <c r="D79" s="80"/>
      <c r="E79" s="80"/>
      <c r="F79" s="80"/>
      <c r="G79" s="80"/>
      <c r="H79" s="80"/>
    </row>
    <row r="80" spans="1:8" ht="15.75" customHeight="1">
      <c r="A80" s="78" t="s">
        <v>594</v>
      </c>
      <c r="B80" s="80">
        <f t="shared" ref="B80:H80" si="21">B42*80%</f>
        <v>0</v>
      </c>
      <c r="C80" s="80">
        <f t="shared" si="21"/>
        <v>0</v>
      </c>
      <c r="D80" s="80">
        <f t="shared" si="21"/>
        <v>0</v>
      </c>
      <c r="E80" s="80">
        <f t="shared" si="21"/>
        <v>0</v>
      </c>
      <c r="F80" s="80">
        <f t="shared" si="21"/>
        <v>0</v>
      </c>
      <c r="G80" s="80">
        <f t="shared" si="21"/>
        <v>0</v>
      </c>
      <c r="H80" s="80">
        <f t="shared" si="21"/>
        <v>0</v>
      </c>
    </row>
    <row r="81" spans="1:8" ht="15.75" customHeight="1">
      <c r="A81" s="78" t="s">
        <v>595</v>
      </c>
      <c r="B81" s="80">
        <f t="shared" ref="B81:H81" si="22">B42*20%</f>
        <v>0</v>
      </c>
      <c r="C81" s="80">
        <f t="shared" si="22"/>
        <v>0</v>
      </c>
      <c r="D81" s="80">
        <f t="shared" si="22"/>
        <v>0</v>
      </c>
      <c r="E81" s="80">
        <f t="shared" si="22"/>
        <v>0</v>
      </c>
      <c r="F81" s="80">
        <f t="shared" si="22"/>
        <v>0</v>
      </c>
      <c r="G81" s="80">
        <f t="shared" si="22"/>
        <v>0</v>
      </c>
      <c r="H81" s="80">
        <f t="shared" si="22"/>
        <v>0</v>
      </c>
    </row>
    <row r="82" spans="1:8" ht="15.75" customHeight="1">
      <c r="A82" s="78" t="str">
        <f>A43</f>
        <v>Bajra</v>
      </c>
      <c r="B82" s="80"/>
      <c r="C82" s="80"/>
      <c r="D82" s="80"/>
      <c r="E82" s="80"/>
      <c r="F82" s="80"/>
      <c r="G82" s="80"/>
      <c r="H82" s="80"/>
    </row>
    <row r="83" spans="1:8" ht="15.75" customHeight="1">
      <c r="A83" s="78"/>
      <c r="B83" s="80"/>
      <c r="C83" s="80"/>
      <c r="D83" s="80"/>
      <c r="E83" s="80"/>
      <c r="F83" s="80"/>
      <c r="G83" s="80"/>
      <c r="H83" s="80"/>
    </row>
    <row r="84" spans="1:8" ht="15.75" customHeight="1">
      <c r="A84" s="78"/>
      <c r="B84" s="80"/>
      <c r="C84" s="80"/>
      <c r="D84" s="80"/>
      <c r="E84" s="80"/>
      <c r="F84" s="80"/>
      <c r="G84" s="80"/>
      <c r="H84" s="80"/>
    </row>
    <row r="85" spans="1:8" ht="15.75" customHeight="1">
      <c r="A85" s="78" t="str">
        <f>A44</f>
        <v>Jawar</v>
      </c>
      <c r="B85" s="80"/>
      <c r="C85" s="80"/>
      <c r="D85" s="80"/>
      <c r="E85" s="80"/>
      <c r="F85" s="80"/>
      <c r="G85" s="80"/>
      <c r="H85" s="80"/>
    </row>
    <row r="86" spans="1:8" ht="15.75" customHeight="1">
      <c r="A86" s="78"/>
      <c r="B86" s="80"/>
      <c r="C86" s="80"/>
      <c r="D86" s="80"/>
      <c r="E86" s="80"/>
      <c r="F86" s="80"/>
      <c r="G86" s="80"/>
      <c r="H86" s="80"/>
    </row>
    <row r="87" spans="1:8" ht="15.75" customHeight="1">
      <c r="A87" s="78"/>
      <c r="B87" s="80"/>
      <c r="C87" s="80"/>
      <c r="D87" s="80"/>
      <c r="E87" s="80"/>
      <c r="F87" s="80"/>
      <c r="G87" s="80"/>
      <c r="H87" s="80"/>
    </row>
    <row r="88" spans="1:8" ht="15.75" customHeight="1">
      <c r="A88" s="78"/>
      <c r="B88" s="80"/>
      <c r="C88" s="80"/>
      <c r="D88" s="80"/>
      <c r="E88" s="80"/>
      <c r="F88" s="80"/>
      <c r="G88" s="80"/>
      <c r="H88" s="80"/>
    </row>
    <row r="89" spans="1:8" ht="15.75" customHeight="1">
      <c r="A89" s="78" t="str">
        <f>A45</f>
        <v>Sunflower</v>
      </c>
      <c r="B89" s="80"/>
      <c r="C89" s="80"/>
      <c r="D89" s="80"/>
      <c r="E89" s="80"/>
      <c r="F89" s="80"/>
      <c r="G89" s="80"/>
      <c r="H89" s="80"/>
    </row>
    <row r="90" spans="1:8" ht="15.75" customHeight="1">
      <c r="A90" s="78"/>
      <c r="B90" s="80"/>
      <c r="C90" s="80"/>
      <c r="D90" s="80"/>
      <c r="E90" s="80"/>
      <c r="F90" s="80"/>
      <c r="G90" s="80"/>
      <c r="H90" s="80"/>
    </row>
    <row r="91" spans="1:8" ht="15.75" customHeight="1">
      <c r="A91" s="78"/>
      <c r="B91" s="80"/>
      <c r="C91" s="80"/>
      <c r="D91" s="80"/>
      <c r="E91" s="80"/>
      <c r="F91" s="80"/>
      <c r="G91" s="80"/>
      <c r="H91" s="80"/>
    </row>
    <row r="92" spans="1:8" ht="15.75" customHeight="1">
      <c r="A92" s="78"/>
      <c r="B92" s="80"/>
      <c r="C92" s="80"/>
      <c r="D92" s="80"/>
      <c r="E92" s="80"/>
      <c r="F92" s="80"/>
      <c r="G92" s="80"/>
      <c r="H92" s="80"/>
    </row>
    <row r="93" spans="1:8" ht="15.75" customHeight="1">
      <c r="A93" s="78" t="str">
        <f>A46</f>
        <v>Wheat</v>
      </c>
      <c r="B93" s="80"/>
      <c r="C93" s="80"/>
      <c r="D93" s="80"/>
      <c r="E93" s="80"/>
      <c r="F93" s="80"/>
      <c r="G93" s="80"/>
      <c r="H93" s="80"/>
    </row>
    <row r="94" spans="1:8" ht="15.75" customHeight="1">
      <c r="A94" s="132">
        <v>0.95</v>
      </c>
      <c r="B94" s="80">
        <f>B46*95%</f>
        <v>0</v>
      </c>
      <c r="C94" s="80">
        <f t="shared" ref="C94:H94" si="23">C46*95%</f>
        <v>0</v>
      </c>
      <c r="D94" s="80">
        <f t="shared" si="23"/>
        <v>0</v>
      </c>
      <c r="E94" s="80">
        <f t="shared" si="23"/>
        <v>0</v>
      </c>
      <c r="F94" s="80">
        <f t="shared" si="23"/>
        <v>0</v>
      </c>
      <c r="G94" s="80">
        <f t="shared" si="23"/>
        <v>0</v>
      </c>
      <c r="H94" s="80">
        <f t="shared" si="23"/>
        <v>0</v>
      </c>
    </row>
    <row r="95" spans="1:8" ht="15.75" customHeight="1">
      <c r="A95" s="78"/>
      <c r="B95" s="80"/>
      <c r="C95" s="80"/>
      <c r="D95" s="80"/>
      <c r="E95" s="80"/>
      <c r="F95" s="80"/>
      <c r="G95" s="80"/>
      <c r="H95" s="80"/>
    </row>
    <row r="96" spans="1:8" ht="15.75" customHeight="1">
      <c r="A96" s="78" t="str">
        <f>A47</f>
        <v>Bengal Gram/Channa</v>
      </c>
      <c r="B96" s="80"/>
      <c r="C96" s="80"/>
      <c r="D96" s="80"/>
      <c r="E96" s="80"/>
      <c r="F96" s="80"/>
      <c r="G96" s="80"/>
      <c r="H96" s="80"/>
    </row>
    <row r="97" spans="1:8" ht="15.75" customHeight="1">
      <c r="A97" s="78" t="s">
        <v>594</v>
      </c>
      <c r="B97" s="80">
        <f t="shared" ref="B97:H97" si="24">B47*80%</f>
        <v>0</v>
      </c>
      <c r="C97" s="80">
        <f t="shared" si="24"/>
        <v>0</v>
      </c>
      <c r="D97" s="80">
        <f t="shared" si="24"/>
        <v>0</v>
      </c>
      <c r="E97" s="80">
        <f t="shared" si="24"/>
        <v>0</v>
      </c>
      <c r="F97" s="80">
        <f t="shared" si="24"/>
        <v>0</v>
      </c>
      <c r="G97" s="80">
        <f t="shared" si="24"/>
        <v>0</v>
      </c>
      <c r="H97" s="80">
        <f t="shared" si="24"/>
        <v>0</v>
      </c>
    </row>
    <row r="98" spans="1:8" ht="15.75" customHeight="1">
      <c r="A98" s="78" t="s">
        <v>595</v>
      </c>
      <c r="B98" s="80">
        <f t="shared" ref="B98:H98" si="25">B47*20%</f>
        <v>0</v>
      </c>
      <c r="C98" s="80">
        <f t="shared" si="25"/>
        <v>0</v>
      </c>
      <c r="D98" s="80">
        <f t="shared" si="25"/>
        <v>0</v>
      </c>
      <c r="E98" s="80">
        <f t="shared" si="25"/>
        <v>0</v>
      </c>
      <c r="F98" s="80">
        <f t="shared" si="25"/>
        <v>0</v>
      </c>
      <c r="G98" s="80">
        <f t="shared" si="25"/>
        <v>0</v>
      </c>
      <c r="H98" s="80">
        <f t="shared" si="25"/>
        <v>0</v>
      </c>
    </row>
    <row r="99" spans="1:8" ht="15.75" customHeight="1">
      <c r="A99" s="78" t="str">
        <f>A48</f>
        <v>Jawar</v>
      </c>
      <c r="B99" s="80"/>
      <c r="C99" s="80"/>
      <c r="D99" s="80"/>
      <c r="E99" s="80"/>
      <c r="F99" s="80"/>
      <c r="G99" s="80"/>
      <c r="H99" s="80"/>
    </row>
    <row r="100" spans="1:8" ht="15.75" customHeight="1">
      <c r="A100" s="78"/>
      <c r="B100" s="80"/>
      <c r="C100" s="80"/>
      <c r="D100" s="80"/>
      <c r="E100" s="80"/>
      <c r="F100" s="80"/>
      <c r="G100" s="80"/>
      <c r="H100" s="80"/>
    </row>
    <row r="101" spans="1:8" ht="15.75" customHeight="1">
      <c r="A101" s="78"/>
      <c r="B101" s="80"/>
      <c r="C101" s="80"/>
      <c r="D101" s="80"/>
      <c r="E101" s="80"/>
      <c r="F101" s="80"/>
      <c r="G101" s="80"/>
      <c r="H101" s="80"/>
    </row>
    <row r="102" spans="1:8" ht="15.75" customHeight="1">
      <c r="A102" s="78" t="str">
        <f>A49</f>
        <v>Maize</v>
      </c>
      <c r="B102" s="80"/>
      <c r="C102" s="80"/>
      <c r="D102" s="80"/>
      <c r="E102" s="80"/>
      <c r="F102" s="80"/>
      <c r="G102" s="80"/>
      <c r="H102" s="80"/>
    </row>
    <row r="103" spans="1:8" ht="15.75" customHeight="1">
      <c r="A103" s="78"/>
      <c r="B103" s="80"/>
      <c r="C103" s="80"/>
      <c r="D103" s="80"/>
      <c r="E103" s="80"/>
      <c r="F103" s="80"/>
      <c r="G103" s="80"/>
      <c r="H103" s="80"/>
    </row>
    <row r="104" spans="1:8" ht="15.75" customHeight="1">
      <c r="A104" s="78"/>
      <c r="B104" s="80"/>
      <c r="C104" s="80"/>
      <c r="D104" s="80"/>
      <c r="E104" s="80"/>
      <c r="F104" s="80"/>
      <c r="G104" s="80"/>
      <c r="H104" s="80"/>
    </row>
    <row r="105" spans="1:8" ht="15.75" customHeight="1">
      <c r="A105" s="78" t="str">
        <f>A50</f>
        <v>Safflower</v>
      </c>
      <c r="B105" s="80"/>
      <c r="C105" s="80"/>
      <c r="D105" s="80"/>
      <c r="E105" s="80"/>
      <c r="F105" s="80"/>
      <c r="G105" s="80"/>
      <c r="H105" s="80"/>
    </row>
    <row r="106" spans="1:8" ht="15.75" customHeight="1">
      <c r="A106" s="78"/>
      <c r="B106" s="80"/>
      <c r="C106" s="80"/>
      <c r="D106" s="80"/>
      <c r="E106" s="80"/>
      <c r="F106" s="80"/>
      <c r="G106" s="80"/>
      <c r="H106" s="80"/>
    </row>
    <row r="107" spans="1:8" ht="15.75" customHeight="1">
      <c r="A107" s="78"/>
      <c r="B107" s="80"/>
      <c r="C107" s="80"/>
      <c r="D107" s="80"/>
      <c r="E107" s="80"/>
      <c r="F107" s="80"/>
      <c r="G107" s="80"/>
      <c r="H107" s="80"/>
    </row>
    <row r="108" spans="1:8" ht="15.75" customHeight="1">
      <c r="A108" s="78">
        <f>A51</f>
        <v>0</v>
      </c>
      <c r="B108" s="80"/>
      <c r="C108" s="80"/>
      <c r="D108" s="80"/>
      <c r="E108" s="80"/>
      <c r="F108" s="80"/>
      <c r="G108" s="80"/>
      <c r="H108" s="80"/>
    </row>
    <row r="109" spans="1:8" ht="15.75" customHeight="1">
      <c r="A109" s="78"/>
      <c r="B109" s="80"/>
      <c r="C109" s="80"/>
      <c r="D109" s="80"/>
      <c r="E109" s="80"/>
      <c r="F109" s="80"/>
      <c r="G109" s="80"/>
      <c r="H109" s="80"/>
    </row>
    <row r="110" spans="1:8" ht="15.75" customHeight="1">
      <c r="A110" s="78"/>
      <c r="B110" s="80"/>
      <c r="C110" s="80"/>
      <c r="D110" s="80"/>
      <c r="E110" s="80"/>
      <c r="F110" s="80"/>
      <c r="G110" s="80"/>
      <c r="H110" s="80"/>
    </row>
    <row r="111" spans="1:8" ht="15.75" customHeight="1">
      <c r="A111" s="78">
        <f>A52</f>
        <v>0</v>
      </c>
      <c r="B111" s="80"/>
      <c r="C111" s="80"/>
      <c r="D111" s="80"/>
      <c r="E111" s="80"/>
      <c r="F111" s="80"/>
      <c r="G111" s="80"/>
      <c r="H111" s="80"/>
    </row>
    <row r="112" spans="1:8" ht="15.75" customHeight="1">
      <c r="A112" s="78"/>
      <c r="B112" s="80"/>
      <c r="C112" s="80"/>
      <c r="D112" s="80"/>
      <c r="E112" s="80"/>
      <c r="F112" s="80"/>
      <c r="G112" s="80"/>
      <c r="H112" s="80"/>
    </row>
    <row r="113" spans="1:8" ht="15.75" customHeight="1">
      <c r="A113" s="78"/>
      <c r="B113" s="80"/>
      <c r="C113" s="80"/>
      <c r="D113" s="80"/>
      <c r="E113" s="80"/>
      <c r="F113" s="80"/>
      <c r="G113" s="80"/>
      <c r="H113" s="80"/>
    </row>
    <row r="114" spans="1:8" ht="15.75" customHeight="1">
      <c r="A114" s="78">
        <f>A53</f>
        <v>0</v>
      </c>
      <c r="B114" s="80"/>
      <c r="C114" s="80"/>
      <c r="D114" s="80"/>
      <c r="E114" s="80"/>
      <c r="F114" s="80"/>
      <c r="G114" s="80"/>
      <c r="H114" s="80"/>
    </row>
    <row r="115" spans="1:8" ht="15.75" customHeight="1">
      <c r="A115" s="78"/>
      <c r="B115" s="80"/>
      <c r="C115" s="80"/>
      <c r="D115" s="80"/>
      <c r="E115" s="80"/>
      <c r="F115" s="80"/>
      <c r="G115" s="80"/>
      <c r="H115" s="80"/>
    </row>
    <row r="116" spans="1:8" ht="15.75" customHeight="1">
      <c r="A116" s="78"/>
      <c r="B116" s="80"/>
      <c r="C116" s="80"/>
      <c r="D116" s="80"/>
      <c r="E116" s="80"/>
      <c r="F116" s="80"/>
      <c r="G116" s="80"/>
      <c r="H116" s="80"/>
    </row>
    <row r="117" spans="1:8" ht="15.75" customHeight="1">
      <c r="A117" s="78" t="str">
        <f>A54</f>
        <v>Groundnut</v>
      </c>
      <c r="B117" s="80"/>
      <c r="C117" s="80"/>
      <c r="D117" s="80"/>
      <c r="E117" s="80"/>
      <c r="F117" s="80"/>
      <c r="G117" s="80"/>
      <c r="H117" s="80"/>
    </row>
    <row r="118" spans="1:8" ht="15.75" customHeight="1">
      <c r="A118" s="78"/>
      <c r="B118" s="80"/>
      <c r="C118" s="80"/>
      <c r="D118" s="80"/>
      <c r="E118" s="80"/>
      <c r="F118" s="80"/>
      <c r="G118" s="80"/>
      <c r="H118" s="80"/>
    </row>
    <row r="119" spans="1:8" ht="15.75" customHeight="1">
      <c r="A119" s="78"/>
      <c r="B119" s="80"/>
      <c r="C119" s="80"/>
      <c r="D119" s="80"/>
      <c r="E119" s="80"/>
      <c r="F119" s="80"/>
      <c r="G119" s="80"/>
      <c r="H119" s="80"/>
    </row>
    <row r="120" spans="1:8" ht="15.75" customHeight="1">
      <c r="A120" s="78">
        <f>A55</f>
        <v>0</v>
      </c>
      <c r="B120" s="80"/>
      <c r="C120" s="80"/>
      <c r="D120" s="80"/>
      <c r="E120" s="80"/>
      <c r="F120" s="80"/>
      <c r="G120" s="80"/>
      <c r="H120" s="80"/>
    </row>
    <row r="121" spans="1:8" ht="15.75" customHeight="1">
      <c r="A121" s="78"/>
      <c r="B121" s="80"/>
      <c r="C121" s="80"/>
      <c r="D121" s="80"/>
      <c r="E121" s="80"/>
      <c r="F121" s="80"/>
      <c r="G121" s="80"/>
      <c r="H121" s="80"/>
    </row>
    <row r="122" spans="1:8" ht="15.75" customHeight="1">
      <c r="A122" s="78"/>
      <c r="B122" s="80"/>
      <c r="C122" s="80"/>
      <c r="D122" s="80"/>
      <c r="E122" s="80"/>
      <c r="F122" s="80"/>
      <c r="G122" s="80"/>
      <c r="H122" s="80"/>
    </row>
    <row r="123" spans="1:8" ht="15.75" customHeight="1">
      <c r="A123" s="78">
        <f>A56</f>
        <v>0</v>
      </c>
      <c r="B123" s="80"/>
      <c r="C123" s="80"/>
      <c r="D123" s="80"/>
      <c r="E123" s="80"/>
      <c r="F123" s="80"/>
      <c r="G123" s="80"/>
      <c r="H123" s="80"/>
    </row>
    <row r="124" spans="1:8" ht="15.75" customHeight="1">
      <c r="A124" s="73"/>
      <c r="B124" s="119"/>
      <c r="C124" s="119"/>
      <c r="D124" s="119"/>
      <c r="E124" s="119"/>
      <c r="F124" s="119"/>
      <c r="G124" s="119"/>
      <c r="H124" s="119"/>
    </row>
    <row r="125" spans="1:8" ht="15.75" customHeight="1">
      <c r="A125" s="73"/>
      <c r="B125" s="119"/>
      <c r="C125" s="119"/>
      <c r="D125" s="119"/>
      <c r="E125" s="119"/>
      <c r="F125" s="119"/>
      <c r="G125" s="119"/>
      <c r="H125" s="119"/>
    </row>
    <row r="126" spans="1:8" ht="15.75" customHeight="1">
      <c r="A126" s="73" t="s">
        <v>596</v>
      </c>
      <c r="B126">
        <v>50</v>
      </c>
    </row>
    <row r="127" spans="1:8" ht="15.75" customHeight="1"/>
    <row r="128" spans="1:8" ht="15.75" customHeight="1"/>
    <row r="129" spans="1:10" ht="15.75" customHeight="1"/>
    <row r="130" spans="1:10" ht="15.75" customHeight="1"/>
    <row r="131" spans="1:10" ht="15.75" customHeight="1"/>
    <row r="132" spans="1:10" ht="15.75" customHeight="1"/>
    <row r="133" spans="1:10" ht="15.75" customHeight="1">
      <c r="A133" s="347" t="s">
        <v>693</v>
      </c>
      <c r="B133" s="324"/>
      <c r="C133" s="324"/>
      <c r="D133" s="324"/>
      <c r="E133" s="324"/>
      <c r="F133" s="324"/>
      <c r="G133" s="324"/>
      <c r="H133" s="324"/>
      <c r="I133" s="324"/>
      <c r="J133" s="324"/>
    </row>
    <row r="134" spans="1:10" ht="15.75" customHeight="1">
      <c r="A134" s="26"/>
      <c r="B134" s="26"/>
      <c r="C134" s="26"/>
      <c r="D134" s="26"/>
      <c r="E134" s="26"/>
      <c r="F134" s="26"/>
      <c r="G134" s="26"/>
      <c r="H134" s="26"/>
    </row>
    <row r="135" spans="1:10" ht="15.75" customHeight="1">
      <c r="A135" s="96"/>
      <c r="B135" s="96"/>
      <c r="C135" s="96"/>
      <c r="D135" s="270">
        <v>0.7</v>
      </c>
      <c r="E135" s="271">
        <v>0.75</v>
      </c>
      <c r="F135" s="271">
        <v>0.8</v>
      </c>
      <c r="G135" s="271">
        <v>0.85</v>
      </c>
      <c r="H135" s="271">
        <v>0.9</v>
      </c>
      <c r="I135" s="271">
        <v>0.95</v>
      </c>
      <c r="J135" s="271">
        <v>1</v>
      </c>
    </row>
    <row r="136" spans="1:10" ht="15.75" customHeight="1">
      <c r="A136" s="73"/>
      <c r="B136" s="73"/>
      <c r="C136" s="73"/>
      <c r="D136" s="73"/>
      <c r="E136" s="73"/>
      <c r="F136" s="73"/>
      <c r="G136" s="73"/>
      <c r="H136" s="73"/>
      <c r="I136" s="73"/>
      <c r="J136" s="73"/>
    </row>
    <row r="137" spans="1:10" ht="15.75" customHeight="1">
      <c r="A137" s="76" t="s">
        <v>142</v>
      </c>
      <c r="B137" s="76" t="s">
        <v>116</v>
      </c>
      <c r="C137" s="76" t="s">
        <v>126</v>
      </c>
      <c r="D137" s="77" t="s">
        <v>145</v>
      </c>
      <c r="E137" s="77" t="s">
        <v>146</v>
      </c>
      <c r="F137" s="77" t="s">
        <v>147</v>
      </c>
      <c r="G137" s="77" t="s">
        <v>148</v>
      </c>
      <c r="H137" s="77" t="s">
        <v>149</v>
      </c>
      <c r="I137" s="77" t="s">
        <v>150</v>
      </c>
      <c r="J137" s="77" t="s">
        <v>151</v>
      </c>
    </row>
    <row r="138" spans="1:10" ht="15.75" customHeight="1">
      <c r="A138" s="78"/>
      <c r="B138" s="78"/>
      <c r="C138" s="78"/>
      <c r="D138" s="78"/>
      <c r="E138" s="78"/>
      <c r="F138" s="78"/>
      <c r="G138" s="78"/>
      <c r="H138" s="78"/>
      <c r="I138" s="78"/>
      <c r="J138" s="78"/>
    </row>
    <row r="139" spans="1:10" ht="15.75" customHeight="1">
      <c r="A139" s="81" t="s">
        <v>339</v>
      </c>
      <c r="B139" s="81"/>
      <c r="C139" s="81"/>
      <c r="D139" s="132"/>
      <c r="E139" s="132"/>
      <c r="F139" s="132"/>
      <c r="G139" s="132"/>
      <c r="H139" s="132"/>
      <c r="I139" s="78"/>
      <c r="J139" s="78"/>
    </row>
    <row r="140" spans="1:10" ht="15.75" customHeight="1">
      <c r="A140" s="81" t="s">
        <v>597</v>
      </c>
      <c r="B140" s="81"/>
      <c r="C140" s="81"/>
      <c r="D140" s="78"/>
      <c r="E140" s="78"/>
      <c r="F140" s="78"/>
      <c r="G140" s="78"/>
      <c r="H140" s="78"/>
      <c r="I140" s="78"/>
      <c r="J140" s="78"/>
    </row>
    <row r="141" spans="1:10" ht="15.75" customHeight="1">
      <c r="A141" s="78" t="s">
        <v>316</v>
      </c>
      <c r="B141" s="50" t="s">
        <v>598</v>
      </c>
      <c r="C141" s="50">
        <v>0</v>
      </c>
      <c r="D141" s="80">
        <f>(((B97*100)*(1-'5.Closing Stock &amp; W Capital'!$D$17))/$B$126)*$C$141*D135</f>
        <v>0</v>
      </c>
      <c r="E141" s="80">
        <f>E135*((((C97*100)*(1-'5.Closing Stock &amp; W Capital'!$D$17))+((B97*100)*'5.Closing Stock &amp; W Capital'!$D$17))/$B$126)*$C$141</f>
        <v>0</v>
      </c>
      <c r="F141" s="80">
        <f>F135*((((D97*100)*(1-'5.Closing Stock &amp; W Capital'!$D$17))+((C97*100)*'5.Closing Stock &amp; W Capital'!$D$17))/$B$126)*$C$141</f>
        <v>0</v>
      </c>
      <c r="G141" s="80">
        <f>G135*((((E97*100)*(1-'5.Closing Stock &amp; W Capital'!$D$17))+((D97*100)*'5.Closing Stock &amp; W Capital'!$D$17))/$B$126)*$C$141</f>
        <v>0</v>
      </c>
      <c r="H141" s="80">
        <f>H135*((((F97*100)*(1-'5.Closing Stock &amp; W Capital'!$D$17))+((E97*100)*'5.Closing Stock &amp; W Capital'!$D$17))/$B$126)*$C$141</f>
        <v>0</v>
      </c>
      <c r="I141" s="80">
        <f>I135*((((G97*100)*(1-'5.Closing Stock &amp; W Capital'!$D$17))+((F97*100)*'5.Closing Stock &amp; W Capital'!$D$17))/$B$126)*$C$141</f>
        <v>0</v>
      </c>
      <c r="J141" s="80">
        <f>J135*((((H97*100)*(1-'5.Closing Stock &amp; W Capital'!$D$17))+((G97*100)*'5.Closing Stock &amp; W Capital'!$D$17))/$B$126)*$C$141</f>
        <v>0</v>
      </c>
    </row>
    <row r="142" spans="1:10" ht="15.75" customHeight="1">
      <c r="A142" s="312" t="s">
        <v>317</v>
      </c>
      <c r="B142" s="50" t="s">
        <v>598</v>
      </c>
      <c r="C142" s="50">
        <v>0</v>
      </c>
      <c r="D142" s="80">
        <f>(((B63*100)*(1-'5.Closing Stock &amp; W Capital'!$D$17))/B126)*$C$142*D135</f>
        <v>0</v>
      </c>
      <c r="E142" s="80">
        <f>((((C63*100)*(1-'5.Closing Stock &amp; W Capital'!$D$17))+((B63*100)*'5.Closing Stock &amp; W Capital'!$D$17))/$B$126)*$C$142*E135</f>
        <v>0</v>
      </c>
      <c r="F142" s="80">
        <f>((((D63*100)*(1-'5.Closing Stock &amp; W Capital'!$D$17))+((C63*100)*'5.Closing Stock &amp; W Capital'!$D$17))/$B$126)*$C$142*F135</f>
        <v>0</v>
      </c>
      <c r="G142" s="80">
        <f>((((E63*100)*(1-'5.Closing Stock &amp; W Capital'!$D$17))+((D63*100)*'5.Closing Stock &amp; W Capital'!$D$17))/$B$126)*$C$142*G135</f>
        <v>0</v>
      </c>
      <c r="H142" s="80">
        <f>((((F63*100)*(1-'5.Closing Stock &amp; W Capital'!$D$17))+((E63*100)*'5.Closing Stock &amp; W Capital'!$D$17))/$B$126)*$C$142*H135</f>
        <v>0</v>
      </c>
      <c r="I142" s="80">
        <f>((((G63*100)*(1-'5.Closing Stock &amp; W Capital'!$D$17))+((F63*100)*'5.Closing Stock &amp; W Capital'!$D$17))/$B$126)*$C$142*I135</f>
        <v>0</v>
      </c>
      <c r="J142" s="80">
        <f>((((H63*100)*(1-'5.Closing Stock &amp; W Capital'!$D$17))+((G63*100)*'5.Closing Stock &amp; W Capital'!$D$17))/$B$126)*$C$142*J135</f>
        <v>0</v>
      </c>
    </row>
    <row r="143" spans="1:10" ht="15.75" customHeight="1">
      <c r="A143" s="78" t="s">
        <v>599</v>
      </c>
      <c r="B143" s="50" t="s">
        <v>598</v>
      </c>
      <c r="C143" s="50">
        <v>0</v>
      </c>
      <c r="D143" s="80">
        <f>(((B67*100)*(1-'5.Closing Stock &amp; W Capital'!D17))/$B$126)*$C$143*D135</f>
        <v>0</v>
      </c>
      <c r="E143" s="80">
        <f>((((C80*100)*(1-'5.Closing Stock &amp; W Capital'!$D$17))+((B80*100)*'5.Closing Stock &amp; W Capital'!$D$17))/$B$126)*$C$143*E135</f>
        <v>0</v>
      </c>
      <c r="F143" s="80">
        <f>((((D80*100)*(1-'5.Closing Stock &amp; W Capital'!$D$17))+((C80*100)*'5.Closing Stock &amp; W Capital'!$D$17))/$B$126)*$C$143*F135</f>
        <v>0</v>
      </c>
      <c r="G143" s="80">
        <f>((((E80*100)*(1-'5.Closing Stock &amp; W Capital'!$D$17))+((D80*100)*'5.Closing Stock &amp; W Capital'!$D$17))/$B$126)*$C$143*G135</f>
        <v>0</v>
      </c>
      <c r="H143" s="80">
        <f>((((F80*100)*(1-'5.Closing Stock &amp; W Capital'!$D$17))+((E80*100)*'5.Closing Stock &amp; W Capital'!$D$17))/$B$126)*$C$143*H135</f>
        <v>0</v>
      </c>
      <c r="I143" s="80">
        <f>((((G80*100)*(1-'5.Closing Stock &amp; W Capital'!$D$17))+((F80*100)*'5.Closing Stock &amp; W Capital'!$D$17))/$B$126)*$C$143*I135</f>
        <v>0</v>
      </c>
      <c r="J143" s="80">
        <f>((((H80*100)*(1-'5.Closing Stock &amp; W Capital'!$D$17))+((G80*100)*'5.Closing Stock &amp; W Capital'!$D$17))/$B$126)*$C$143*J135</f>
        <v>0</v>
      </c>
    </row>
    <row r="144" spans="1:10" ht="15.75" customHeight="1">
      <c r="A144" s="78" t="s">
        <v>319</v>
      </c>
      <c r="B144" s="50" t="s">
        <v>598</v>
      </c>
      <c r="C144" s="50">
        <v>0</v>
      </c>
      <c r="D144" s="80">
        <f>(((B72*100)*(1-'5.Closing Stock &amp; W Capital'!D17))/B126)*$C$144*D135</f>
        <v>0</v>
      </c>
      <c r="E144" s="80">
        <f>((((C72*100)*(1-'5.Closing Stock &amp; W Capital'!$D$17))+((B72*100)*'5.Closing Stock &amp; W Capital'!$D$17))/$B$126)*$C$144*E135</f>
        <v>0</v>
      </c>
      <c r="F144" s="80">
        <f>((((D72*100)*(1-'5.Closing Stock &amp; W Capital'!$D$17))+((C72*100)*'5.Closing Stock &amp; W Capital'!$D$17))/$B$126)*$C$144*F135</f>
        <v>0</v>
      </c>
      <c r="G144" s="80">
        <f>((((E72*100)*(1-'5.Closing Stock &amp; W Capital'!$D$17))+((D72*100)*'5.Closing Stock &amp; W Capital'!$D$17))/$B$126)*$C$144*G135</f>
        <v>0</v>
      </c>
      <c r="H144" s="80">
        <f>((((F72*100)*(1-'5.Closing Stock &amp; W Capital'!$D$17))+((E72*100)*'5.Closing Stock &amp; W Capital'!$D$17))/$B$126)*$C$144*H135</f>
        <v>0</v>
      </c>
      <c r="I144" s="80">
        <f>((((G72*100)*(1-'5.Closing Stock &amp; W Capital'!$D$17))+((F72*100)*'5.Closing Stock &amp; W Capital'!$D$17))/$B$126)*$C$144*I135</f>
        <v>0</v>
      </c>
      <c r="J144" s="80">
        <f>((((H72*100)*(1-'5.Closing Stock &amp; W Capital'!$D$17))+((G72*100)*'5.Closing Stock &amp; W Capital'!$D$17))/$B$126)*$C$144*J135</f>
        <v>0</v>
      </c>
    </row>
    <row r="145" spans="1:11" ht="15.75" customHeight="1">
      <c r="A145" s="78" t="s">
        <v>726</v>
      </c>
      <c r="B145" s="50" t="s">
        <v>598</v>
      </c>
      <c r="C145" s="78">
        <v>1595</v>
      </c>
      <c r="D145" s="239">
        <f>(((B67*100)*(1-'5.Closing Stock &amp; W Capital'!$D$17))/$B$126)*$C$145*$D$135</f>
        <v>76925852.128124997</v>
      </c>
      <c r="E145" s="239">
        <f>((((C67*100)*(1-'5.Closing Stock &amp; W Capital'!$D$17))+((B67*100)*'5.Closing Stock &amp; W Capital'!$D$17))/$B$126)*$C$145*$D$135</f>
        <v>84820873.793906271</v>
      </c>
      <c r="F145" s="239">
        <f>((((D67*100)*(1-'5.Closing Stock &amp; W Capital'!$D$17))+((C67*100)*'5.Closing Stock &amp; W Capital'!$D$17))/$B$126)*$C$145*$D$135</f>
        <v>89061917.483601555</v>
      </c>
      <c r="G145" s="239">
        <f>((((E67*100)*(1-'5.Closing Stock &amp; W Capital'!$D$17))+((D67*100)*'5.Closing Stock &amp; W Capital'!$D$17))/$B$126)*$C$145*$D$135</f>
        <v>93515013.357781649</v>
      </c>
      <c r="H145" s="239">
        <f>((((F67*100)*(1-'5.Closing Stock &amp; W Capital'!$D$17))+((E67*100)*'5.Closing Stock &amp; W Capital'!$D$17))/$B$126)*$C$145*$D$135</f>
        <v>98190764.025670722</v>
      </c>
      <c r="I145" s="239">
        <f>((((G67*100)*(1-'5.Closing Stock &amp; W Capital'!$D$17))+((F67*100)*'5.Closing Stock &amp; W Capital'!$D$17))/$B$126)*$C$145*$D$135</f>
        <v>103100302.22695425</v>
      </c>
      <c r="J145" s="239">
        <f>((((H67*100)*(1-'5.Closing Stock &amp; W Capital'!$D$17))+((G67*100)*'5.Closing Stock &amp; W Capital'!$D$17))/$B$126)*$C$145*$D$135</f>
        <v>108255317.33830197</v>
      </c>
    </row>
    <row r="146" spans="1:11" ht="15.75" customHeight="1">
      <c r="A146" s="78" t="s">
        <v>723</v>
      </c>
      <c r="B146" s="50" t="s">
        <v>598</v>
      </c>
      <c r="C146" s="78">
        <v>820</v>
      </c>
      <c r="D146" s="239">
        <f>(((B68*100)*(1-'5.Closing Stock &amp; W Capital'!$D$17))/$B$126)*$C$146*$D$135</f>
        <v>3042160.5374999996</v>
      </c>
      <c r="E146" s="239">
        <f>(((C68*100)*(1-'5.Closing Stock &amp; W Capital'!$D$17))/$B$126)*$C$146*$D$135</f>
        <v>3194268.5643750001</v>
      </c>
      <c r="F146" s="239">
        <f>(((D68*100)*(1-'5.Closing Stock &amp; W Capital'!$D$17))/$B$126)*$C$146*$D$135</f>
        <v>3353981.9925937499</v>
      </c>
      <c r="G146" s="239">
        <f>(((E68*100)*(1-'5.Closing Stock &amp; W Capital'!$D$17))/$B$126)*$C$146*$D$135</f>
        <v>3521681.0922234375</v>
      </c>
      <c r="H146" s="239">
        <f>(((F68*100)*(1-'5.Closing Stock &amp; W Capital'!$D$17))/$B$126)*$C$146*$D$135</f>
        <v>3697765.1468346096</v>
      </c>
      <c r="I146" s="239">
        <f>(((G68*100)*(1-'5.Closing Stock &amp; W Capital'!$D$17))/$B$126)*$C$146*$D$135</f>
        <v>3882653.4041763404</v>
      </c>
      <c r="J146" s="239">
        <f>(((H68*100)*(1-'5.Closing Stock &amp; W Capital'!$D$17))/$B$126)*$C$146*$D$135</f>
        <v>4076786.0743851569</v>
      </c>
    </row>
    <row r="147" spans="1:11" ht="15.75" customHeight="1">
      <c r="A147" s="78" t="str">
        <f>+A96</f>
        <v>Bengal Gram/Channa</v>
      </c>
      <c r="B147" s="50" t="s">
        <v>598</v>
      </c>
      <c r="C147" s="78">
        <v>0</v>
      </c>
      <c r="D147" s="239">
        <f>(((B97*100)*(1-'5.Closing Stock &amp; W Capital'!$D$17))/$B$126)*$C$147*$D$135</f>
        <v>0</v>
      </c>
      <c r="E147" s="239">
        <f>((((C97*100)*(1-'5.Closing Stock &amp; W Capital'!$D$17))+((B97*100)*'5.Closing Stock &amp; W Capital'!$D$17))/$B$126)*$C$147*$D$135</f>
        <v>0</v>
      </c>
      <c r="F147" s="239">
        <f>((((D97*100)*(1-'5.Closing Stock &amp; W Capital'!$D$17))+((C97*100)*'5.Closing Stock &amp; W Capital'!$D$17))/$B$126)*$C$147*$D$135</f>
        <v>0</v>
      </c>
      <c r="G147" s="239">
        <f>((((E97*100)*(1-'5.Closing Stock &amp; W Capital'!$D$17))+((D97*100)*'5.Closing Stock &amp; W Capital'!$D$17))/$B$126)*$C$147*$D$135</f>
        <v>0</v>
      </c>
      <c r="H147" s="239">
        <f>((((F97*100)*(1-'5.Closing Stock &amp; W Capital'!$D$17))+((E97*100)*'5.Closing Stock &amp; W Capital'!$D$17))/$B$126)*$C$147*$D$135</f>
        <v>0</v>
      </c>
      <c r="I147" s="239">
        <f>((((G97*100)*(1-'5.Closing Stock &amp; W Capital'!$D$17))+((F97*100)*'5.Closing Stock &amp; W Capital'!$D$17))/$B$126)*$C$147*$D$135</f>
        <v>0</v>
      </c>
      <c r="J147" s="239">
        <f>((((H97*100)*(1-'5.Closing Stock &amp; W Capital'!$D$17))+((G97*100)*'5.Closing Stock &amp; W Capital'!$D$17))/$B$126)*$C$147*$D$135</f>
        <v>0</v>
      </c>
    </row>
    <row r="148" spans="1:11" ht="15.75" customHeight="1">
      <c r="A148" s="81" t="s">
        <v>595</v>
      </c>
      <c r="B148" s="55" t="s">
        <v>600</v>
      </c>
      <c r="C148" s="55">
        <v>10</v>
      </c>
      <c r="D148" s="80">
        <f>((B64+B69+B98+B81+B73)*100)*$C$148*D135</f>
        <v>11715637.5</v>
      </c>
      <c r="E148" s="80">
        <f>((C64+C69+C98+C81+C73)*100)*$C$148*E135</f>
        <v>13180092.187500004</v>
      </c>
      <c r="F148" s="80">
        <f t="shared" ref="F148:J148" si="26">((D64+D69+D98+D81+D73)*100)*$C$148*F135</f>
        <v>14761703.25</v>
      </c>
      <c r="G148" s="80">
        <f t="shared" si="26"/>
        <v>16468525.188281249</v>
      </c>
      <c r="H148" s="80">
        <f t="shared" si="26"/>
        <v>18309125.062265631</v>
      </c>
      <c r="I148" s="80">
        <f t="shared" si="26"/>
        <v>20292613.610677734</v>
      </c>
      <c r="J148" s="80">
        <f t="shared" si="26"/>
        <v>22428678.201275393</v>
      </c>
    </row>
    <row r="149" spans="1:11" ht="15.75" customHeight="1">
      <c r="A149" s="78"/>
      <c r="B149" s="50"/>
      <c r="C149" s="50"/>
      <c r="D149" s="80"/>
      <c r="E149" s="80"/>
      <c r="F149" s="80"/>
      <c r="G149" s="80"/>
      <c r="H149" s="80"/>
      <c r="I149" s="80"/>
      <c r="J149" s="80"/>
      <c r="K149" s="277">
        <f>[2]Output!T58*70*K135</f>
        <v>0</v>
      </c>
    </row>
    <row r="150" spans="1:11" ht="15.75" customHeight="1">
      <c r="A150" s="81" t="s">
        <v>572</v>
      </c>
      <c r="B150" s="55" t="s">
        <v>600</v>
      </c>
      <c r="C150" s="50">
        <v>0</v>
      </c>
      <c r="D150" s="80">
        <f>(B35*100)*$C$150*D135</f>
        <v>0</v>
      </c>
      <c r="E150" s="80">
        <f t="shared" ref="E150:J150" si="27">(C35*100)*$C$150*E135</f>
        <v>0</v>
      </c>
      <c r="F150" s="80">
        <f t="shared" si="27"/>
        <v>0</v>
      </c>
      <c r="G150" s="80">
        <f t="shared" si="27"/>
        <v>0</v>
      </c>
      <c r="H150" s="80">
        <f t="shared" si="27"/>
        <v>0</v>
      </c>
      <c r="I150" s="80">
        <f t="shared" si="27"/>
        <v>0</v>
      </c>
      <c r="J150" s="80">
        <f t="shared" si="27"/>
        <v>0</v>
      </c>
    </row>
    <row r="151" spans="1:11" ht="15.75" customHeight="1">
      <c r="A151" s="78"/>
      <c r="B151" s="78"/>
      <c r="C151" s="78"/>
      <c r="D151" s="80"/>
      <c r="E151" s="80"/>
      <c r="F151" s="80"/>
      <c r="G151" s="80"/>
      <c r="H151" s="80"/>
      <c r="I151" s="80"/>
      <c r="J151" s="80"/>
    </row>
    <row r="152" spans="1:11" ht="15.75" customHeight="1">
      <c r="A152" s="81" t="s">
        <v>339</v>
      </c>
      <c r="B152" s="81"/>
      <c r="C152" s="81"/>
      <c r="D152" s="82">
        <f>SUM(D141:D150)</f>
        <v>91683650.165624991</v>
      </c>
      <c r="E152" s="82">
        <f>SUM(E141:E150)</f>
        <v>101195234.54578127</v>
      </c>
      <c r="F152" s="82">
        <f t="shared" ref="F152:J152" si="28">SUM(F141:F150)</f>
        <v>107177602.72619531</v>
      </c>
      <c r="G152" s="82">
        <f t="shared" si="28"/>
        <v>113505219.63828634</v>
      </c>
      <c r="H152" s="82">
        <f t="shared" si="28"/>
        <v>120197654.23477097</v>
      </c>
      <c r="I152" s="82">
        <f t="shared" si="28"/>
        <v>127275569.24180833</v>
      </c>
      <c r="J152" s="82">
        <f t="shared" si="28"/>
        <v>134760781.61396253</v>
      </c>
    </row>
    <row r="153" spans="1:11" ht="15.75" customHeight="1">
      <c r="A153" s="78"/>
      <c r="B153" s="78"/>
      <c r="C153" s="78"/>
      <c r="D153" s="80"/>
      <c r="E153" s="80"/>
      <c r="F153" s="80"/>
      <c r="G153" s="80"/>
      <c r="H153" s="80"/>
      <c r="I153" s="80"/>
      <c r="J153" s="80"/>
    </row>
    <row r="154" spans="1:11" ht="15.75" customHeight="1">
      <c r="A154" s="81" t="s">
        <v>573</v>
      </c>
      <c r="B154" s="81"/>
      <c r="C154" s="81"/>
      <c r="D154" s="80"/>
      <c r="E154" s="80"/>
      <c r="F154" s="80"/>
      <c r="G154" s="80"/>
      <c r="H154" s="80"/>
      <c r="I154" s="80"/>
      <c r="J154" s="80"/>
    </row>
    <row r="155" spans="1:11" ht="15.75" customHeight="1">
      <c r="A155" s="81" t="s">
        <v>346</v>
      </c>
      <c r="B155" s="81"/>
      <c r="C155" s="78"/>
      <c r="D155" s="80"/>
      <c r="E155" s="80"/>
      <c r="F155" s="80"/>
      <c r="G155" s="80"/>
      <c r="H155" s="80"/>
      <c r="I155" s="80"/>
      <c r="J155" s="80"/>
    </row>
    <row r="156" spans="1:11" ht="15.75" customHeight="1">
      <c r="A156" s="78" t="s">
        <v>316</v>
      </c>
      <c r="B156" s="50" t="s">
        <v>571</v>
      </c>
      <c r="C156" s="79">
        <v>0</v>
      </c>
      <c r="D156" s="80">
        <f t="shared" ref="D156:J156" si="29">(B47)*$C$156*D135</f>
        <v>0</v>
      </c>
      <c r="E156" s="80">
        <f t="shared" si="29"/>
        <v>0</v>
      </c>
      <c r="F156" s="80">
        <f t="shared" si="29"/>
        <v>0</v>
      </c>
      <c r="G156" s="80">
        <f t="shared" si="29"/>
        <v>0</v>
      </c>
      <c r="H156" s="80">
        <f t="shared" si="29"/>
        <v>0</v>
      </c>
      <c r="I156" s="80">
        <f t="shared" si="29"/>
        <v>0</v>
      </c>
      <c r="J156" s="80">
        <f t="shared" si="29"/>
        <v>0</v>
      </c>
    </row>
    <row r="157" spans="1:11" ht="15.75" customHeight="1">
      <c r="A157" s="78" t="s">
        <v>601</v>
      </c>
      <c r="B157" s="50" t="s">
        <v>571</v>
      </c>
      <c r="C157" s="79">
        <v>0</v>
      </c>
      <c r="D157" s="80">
        <f>(B38)*$C$157*D135</f>
        <v>0</v>
      </c>
      <c r="E157" s="80">
        <f t="shared" ref="E157:J157" si="30">(C38)*$C$157*E135</f>
        <v>0</v>
      </c>
      <c r="F157" s="80">
        <f t="shared" si="30"/>
        <v>0</v>
      </c>
      <c r="G157" s="80">
        <f t="shared" si="30"/>
        <v>0</v>
      </c>
      <c r="H157" s="80">
        <f t="shared" si="30"/>
        <v>0</v>
      </c>
      <c r="I157" s="80">
        <f t="shared" si="30"/>
        <v>0</v>
      </c>
      <c r="J157" s="80">
        <f t="shared" si="30"/>
        <v>0</v>
      </c>
    </row>
    <row r="158" spans="1:11" ht="15.75" customHeight="1">
      <c r="A158" s="78" t="s">
        <v>602</v>
      </c>
      <c r="B158" s="50" t="s">
        <v>571</v>
      </c>
      <c r="C158" s="79">
        <v>0</v>
      </c>
      <c r="D158" s="80">
        <f t="shared" ref="D158:J158" si="31">(B42)*$C$158*D135</f>
        <v>0</v>
      </c>
      <c r="E158" s="80">
        <f t="shared" si="31"/>
        <v>0</v>
      </c>
      <c r="F158" s="80">
        <f t="shared" si="31"/>
        <v>0</v>
      </c>
      <c r="G158" s="80">
        <f t="shared" si="31"/>
        <v>0</v>
      </c>
      <c r="H158" s="80">
        <f t="shared" si="31"/>
        <v>0</v>
      </c>
      <c r="I158" s="80">
        <f t="shared" si="31"/>
        <v>0</v>
      </c>
      <c r="J158" s="80">
        <f t="shared" si="31"/>
        <v>0</v>
      </c>
    </row>
    <row r="159" spans="1:11" ht="15.75" customHeight="1">
      <c r="A159" s="78" t="s">
        <v>319</v>
      </c>
      <c r="B159" s="50" t="s">
        <v>571</v>
      </c>
      <c r="C159" s="79">
        <v>0</v>
      </c>
      <c r="D159" s="80">
        <f>(B40)*$C$159*$D$135</f>
        <v>0</v>
      </c>
      <c r="E159" s="80">
        <f>(C40)*$C$159*E135</f>
        <v>0</v>
      </c>
      <c r="F159" s="80">
        <f t="shared" ref="F159:J159" si="32">(D40)*$C$159*F135</f>
        <v>0</v>
      </c>
      <c r="G159" s="80">
        <f t="shared" si="32"/>
        <v>0</v>
      </c>
      <c r="H159" s="80">
        <f t="shared" si="32"/>
        <v>0</v>
      </c>
      <c r="I159" s="80">
        <f t="shared" si="32"/>
        <v>0</v>
      </c>
      <c r="J159" s="80">
        <f t="shared" si="32"/>
        <v>0</v>
      </c>
    </row>
    <row r="160" spans="1:11" ht="15.75" customHeight="1">
      <c r="A160" s="78" t="s">
        <v>727</v>
      </c>
      <c r="B160" s="50" t="s">
        <v>571</v>
      </c>
      <c r="C160" s="79">
        <v>2300</v>
      </c>
      <c r="D160" s="80">
        <f>(B39)*$C$160*$D$135</f>
        <v>89819887.5</v>
      </c>
      <c r="E160" s="80">
        <f>(C39)*$C$160*$D$135</f>
        <v>94310881.875000015</v>
      </c>
      <c r="F160" s="80">
        <f t="shared" ref="F160:J160" si="33">(D39)*$C$160*$D$135</f>
        <v>99026425.96875</v>
      </c>
      <c r="G160" s="80">
        <f t="shared" si="33"/>
        <v>103977747.26718752</v>
      </c>
      <c r="H160" s="80">
        <f t="shared" si="33"/>
        <v>109176634.63054688</v>
      </c>
      <c r="I160" s="80">
        <f t="shared" si="33"/>
        <v>114635466.36207423</v>
      </c>
      <c r="J160" s="80">
        <f t="shared" si="33"/>
        <v>120367239.68017794</v>
      </c>
    </row>
    <row r="161" spans="1:10" ht="15.75" customHeight="1">
      <c r="A161" s="312" t="s">
        <v>519</v>
      </c>
      <c r="B161" s="50" t="s">
        <v>571</v>
      </c>
      <c r="C161" s="79">
        <v>0</v>
      </c>
      <c r="D161" s="80">
        <f>(B46)*$C$161*$D$135</f>
        <v>0</v>
      </c>
      <c r="E161" s="80">
        <f t="shared" ref="E161:J161" si="34">(C46)*$C$161*$D$135</f>
        <v>0</v>
      </c>
      <c r="F161" s="80">
        <f t="shared" si="34"/>
        <v>0</v>
      </c>
      <c r="G161" s="80">
        <f t="shared" si="34"/>
        <v>0</v>
      </c>
      <c r="H161" s="80">
        <f t="shared" si="34"/>
        <v>0</v>
      </c>
      <c r="I161" s="80">
        <f t="shared" si="34"/>
        <v>0</v>
      </c>
      <c r="J161" s="80">
        <f t="shared" si="34"/>
        <v>0</v>
      </c>
    </row>
    <row r="162" spans="1:10" ht="15.75" customHeight="1">
      <c r="A162" s="78" t="str">
        <f>+A147</f>
        <v>Bengal Gram/Channa</v>
      </c>
      <c r="B162" s="50" t="s">
        <v>571</v>
      </c>
      <c r="C162" s="79">
        <v>0</v>
      </c>
      <c r="D162" s="80">
        <f>(B47)*$C$162*$D$135</f>
        <v>0</v>
      </c>
      <c r="E162" s="80">
        <f t="shared" ref="E162:J162" si="35">(C47)*$C$162*$D$135</f>
        <v>0</v>
      </c>
      <c r="F162" s="80">
        <f t="shared" si="35"/>
        <v>0</v>
      </c>
      <c r="G162" s="80">
        <f t="shared" si="35"/>
        <v>0</v>
      </c>
      <c r="H162" s="80">
        <f t="shared" si="35"/>
        <v>0</v>
      </c>
      <c r="I162" s="80">
        <f t="shared" si="35"/>
        <v>0</v>
      </c>
      <c r="J162" s="80">
        <f t="shared" si="35"/>
        <v>0</v>
      </c>
    </row>
    <row r="163" spans="1:10" ht="15.75" customHeight="1">
      <c r="A163" s="78" t="s">
        <v>603</v>
      </c>
      <c r="B163" s="50">
        <v>0</v>
      </c>
      <c r="C163" s="50">
        <v>0</v>
      </c>
      <c r="D163" s="80">
        <f t="shared" ref="D163:J163" si="36">(B32/10)*$B$163*$C$163*D135</f>
        <v>0</v>
      </c>
      <c r="E163" s="80">
        <f t="shared" si="36"/>
        <v>0</v>
      </c>
      <c r="F163" s="80">
        <f t="shared" si="36"/>
        <v>0</v>
      </c>
      <c r="G163" s="80">
        <f t="shared" si="36"/>
        <v>0</v>
      </c>
      <c r="H163" s="80">
        <f t="shared" si="36"/>
        <v>0</v>
      </c>
      <c r="I163" s="80">
        <f t="shared" si="36"/>
        <v>0</v>
      </c>
      <c r="J163" s="80">
        <f t="shared" si="36"/>
        <v>0</v>
      </c>
    </row>
    <row r="164" spans="1:10" ht="15.75" customHeight="1">
      <c r="A164" s="78" t="s">
        <v>604</v>
      </c>
      <c r="B164" s="50">
        <v>20</v>
      </c>
      <c r="C164" s="50">
        <v>550</v>
      </c>
      <c r="D164" s="80">
        <f>B12*$B$164*$C$164*D135</f>
        <v>1342416.796875</v>
      </c>
      <c r="E164" s="80">
        <f t="shared" ref="E164:J164" si="37">C12*$B$164*$C$164*E135</f>
        <v>1510218.896484375</v>
      </c>
      <c r="F164" s="80">
        <f t="shared" si="37"/>
        <v>1691445.1640625</v>
      </c>
      <c r="G164" s="80">
        <f t="shared" si="37"/>
        <v>1887018.511157227</v>
      </c>
      <c r="H164" s="80">
        <f t="shared" si="37"/>
        <v>2097920.5800512703</v>
      </c>
      <c r="I164" s="80">
        <f t="shared" si="37"/>
        <v>2325195.3095568242</v>
      </c>
      <c r="J164" s="80">
        <f t="shared" si="37"/>
        <v>2569952.7105628056</v>
      </c>
    </row>
    <row r="165" spans="1:10" ht="15.75" customHeight="1">
      <c r="A165" s="78" t="s">
        <v>575</v>
      </c>
      <c r="B165" s="78">
        <f>'2.Capex Details'!H33*0.746*8</f>
        <v>1283.1199999999999</v>
      </c>
      <c r="C165" s="50">
        <v>10</v>
      </c>
      <c r="D165" s="80">
        <f>$B$165*$C$165*B12*D135</f>
        <v>1565892.5821874996</v>
      </c>
      <c r="E165" s="80">
        <f t="shared" ref="E165:J165" si="38">$B$165*$C$165*C12*E135</f>
        <v>1761629.1549609373</v>
      </c>
      <c r="F165" s="80">
        <f t="shared" si="38"/>
        <v>1973024.65355625</v>
      </c>
      <c r="G165" s="80">
        <f t="shared" si="38"/>
        <v>2201155.6291236915</v>
      </c>
      <c r="H165" s="80">
        <f t="shared" si="38"/>
        <v>2447167.1406139866</v>
      </c>
      <c r="I165" s="80">
        <f t="shared" si="38"/>
        <v>2712276.9141805014</v>
      </c>
      <c r="J165" s="80">
        <f t="shared" si="38"/>
        <v>2997779.7472521337</v>
      </c>
    </row>
    <row r="166" spans="1:10" ht="15.75" customHeight="1">
      <c r="A166" s="78" t="s">
        <v>605</v>
      </c>
      <c r="B166" s="78"/>
      <c r="C166" s="50">
        <v>0</v>
      </c>
      <c r="D166" s="80">
        <f t="shared" ref="D166:J166" si="39">((B35*100)/50)*$C$166*D135</f>
        <v>0</v>
      </c>
      <c r="E166" s="80">
        <f t="shared" si="39"/>
        <v>0</v>
      </c>
      <c r="F166" s="80">
        <f t="shared" si="39"/>
        <v>0</v>
      </c>
      <c r="G166" s="80">
        <f t="shared" si="39"/>
        <v>0</v>
      </c>
      <c r="H166" s="80">
        <f t="shared" si="39"/>
        <v>0</v>
      </c>
      <c r="I166" s="80">
        <f t="shared" si="39"/>
        <v>0</v>
      </c>
      <c r="J166" s="80">
        <f t="shared" si="39"/>
        <v>0</v>
      </c>
    </row>
    <row r="167" spans="1:10" ht="15.75" customHeight="1">
      <c r="A167" s="310" t="s">
        <v>692</v>
      </c>
      <c r="B167" s="196"/>
      <c r="C167" s="278">
        <v>12</v>
      </c>
      <c r="D167" s="80">
        <f>(((B67+B68)*100)/50)*$C$167*D135</f>
        <v>656075.69999999995</v>
      </c>
      <c r="E167" s="80">
        <f t="shared" ref="E167:J167" si="40">(((C80+C71+C97+C63)*100)/50)*$C$167*E135</f>
        <v>0</v>
      </c>
      <c r="F167" s="80">
        <f t="shared" si="40"/>
        <v>0</v>
      </c>
      <c r="G167" s="80">
        <f t="shared" si="40"/>
        <v>0</v>
      </c>
      <c r="H167" s="80">
        <f t="shared" si="40"/>
        <v>0</v>
      </c>
      <c r="I167" s="80">
        <f t="shared" si="40"/>
        <v>0</v>
      </c>
      <c r="J167" s="80">
        <f t="shared" si="40"/>
        <v>0</v>
      </c>
    </row>
    <row r="168" spans="1:10" ht="15.75" customHeight="1">
      <c r="A168" s="78" t="s">
        <v>607</v>
      </c>
      <c r="B168" s="78"/>
      <c r="C168" s="50">
        <v>12</v>
      </c>
      <c r="D168" s="80">
        <f>(((B67+B68)*100)/50)*$C$168*D135</f>
        <v>656075.69999999995</v>
      </c>
      <c r="E168" s="80">
        <f t="shared" ref="E168:J168" si="41">(((C80+C71+C97+C63)*100)/50)*$C$168*E135</f>
        <v>0</v>
      </c>
      <c r="F168" s="80">
        <f t="shared" si="41"/>
        <v>0</v>
      </c>
      <c r="G168" s="80">
        <f t="shared" si="41"/>
        <v>0</v>
      </c>
      <c r="H168" s="80">
        <f t="shared" si="41"/>
        <v>0</v>
      </c>
      <c r="I168" s="80">
        <f t="shared" si="41"/>
        <v>0</v>
      </c>
      <c r="J168" s="80">
        <f t="shared" si="41"/>
        <v>0</v>
      </c>
    </row>
    <row r="169" spans="1:10" ht="15.75" customHeight="1">
      <c r="A169" s="139"/>
      <c r="B169" s="139"/>
      <c r="C169" s="139"/>
      <c r="D169" s="139"/>
      <c r="E169" s="139"/>
      <c r="F169" s="139"/>
      <c r="G169" s="139"/>
      <c r="H169" s="139"/>
      <c r="I169" s="139"/>
      <c r="J169" s="139"/>
    </row>
    <row r="170" spans="1:10" ht="15.75" customHeight="1">
      <c r="A170" s="139"/>
      <c r="B170" s="139"/>
      <c r="C170" s="139"/>
      <c r="D170" s="139"/>
      <c r="E170" s="139"/>
      <c r="F170" s="139"/>
      <c r="G170" s="139"/>
      <c r="H170" s="139"/>
      <c r="I170" s="139"/>
      <c r="J170" s="139"/>
    </row>
    <row r="171" spans="1:10" ht="15.75" customHeight="1">
      <c r="A171" s="139"/>
      <c r="B171" s="139"/>
      <c r="C171" s="139"/>
      <c r="D171" s="139"/>
      <c r="E171" s="139"/>
      <c r="F171" s="139"/>
      <c r="G171" s="139"/>
      <c r="H171" s="139"/>
      <c r="I171" s="139"/>
      <c r="J171" s="139"/>
    </row>
    <row r="172" spans="1:10" ht="15.75" customHeight="1">
      <c r="A172" s="139"/>
      <c r="B172" s="139"/>
      <c r="C172" s="139"/>
      <c r="D172" s="139"/>
      <c r="E172" s="139"/>
      <c r="F172" s="139"/>
      <c r="G172" s="139"/>
      <c r="H172" s="139"/>
      <c r="I172" s="139"/>
      <c r="J172" s="139"/>
    </row>
    <row r="173" spans="1:10" ht="15.75" customHeight="1">
      <c r="A173" s="80" t="s">
        <v>578</v>
      </c>
      <c r="B173" s="80"/>
      <c r="C173" s="80"/>
      <c r="D173" s="80"/>
      <c r="E173" s="80">
        <f>'5.Closing Stock &amp; W Capital'!F8</f>
        <v>4702017.4139531255</v>
      </c>
      <c r="F173" s="80">
        <f>'5.Closing Stock &amp; W Capital'!G8</f>
        <v>4879136.4963222658</v>
      </c>
      <c r="G173" s="80">
        <f>'5.Closing Stock &amp; W Capital'!H8</f>
        <v>5134544.7893184386</v>
      </c>
      <c r="H173" s="80">
        <f>'5.Closing Stock &amp; W Capital'!I8</f>
        <v>5403296.0703734225</v>
      </c>
      <c r="I173" s="80">
        <f>'5.Closing Stock &amp; W Capital'!J8</f>
        <v>5686086.1175606074</v>
      </c>
      <c r="J173" s="80">
        <f>'5.Closing Stock &amp; W Capital'!K8</f>
        <v>5983646.9292905778</v>
      </c>
    </row>
    <row r="174" spans="1:10" ht="15.75" customHeight="1">
      <c r="A174" s="80" t="s">
        <v>579</v>
      </c>
      <c r="B174" s="80"/>
      <c r="C174" s="80"/>
      <c r="D174" s="80">
        <f>'5.Closing Stock &amp; W Capital'!E17</f>
        <v>4702017.4139531255</v>
      </c>
      <c r="E174" s="80">
        <f>'5.Closing Stock &amp; W Capital'!F17</f>
        <v>4879136.4963222658</v>
      </c>
      <c r="F174" s="80">
        <f>'5.Closing Stock &amp; W Capital'!G17</f>
        <v>5134544.7893184386</v>
      </c>
      <c r="G174" s="80">
        <f>'5.Closing Stock &amp; W Capital'!H17</f>
        <v>5403296.0703734225</v>
      </c>
      <c r="H174" s="80">
        <f>'5.Closing Stock &amp; W Capital'!I17</f>
        <v>5686086.1175606074</v>
      </c>
      <c r="I174" s="80">
        <f>'5.Closing Stock &amp; W Capital'!J17</f>
        <v>5983646.9292905778</v>
      </c>
      <c r="J174" s="80">
        <f>'5.Closing Stock &amp; W Capital'!K17</f>
        <v>6296748.6068996452</v>
      </c>
    </row>
    <row r="175" spans="1:10" ht="15.75" customHeight="1">
      <c r="A175" s="80"/>
      <c r="B175" s="80"/>
      <c r="C175" s="80"/>
      <c r="D175" s="80"/>
      <c r="E175" s="80"/>
      <c r="F175" s="80"/>
      <c r="G175" s="80"/>
      <c r="H175" s="80"/>
      <c r="I175" s="80"/>
      <c r="J175" s="80"/>
    </row>
    <row r="176" spans="1:10" ht="15.75" customHeight="1">
      <c r="A176" s="82" t="s">
        <v>347</v>
      </c>
      <c r="B176" s="80"/>
      <c r="C176" s="80"/>
      <c r="D176" s="82">
        <f>SUM(D156:D173)-D174</f>
        <v>89338330.865109384</v>
      </c>
      <c r="E176" s="82">
        <f t="shared" ref="E176:J176" si="42">SUM(E156:E173)-E174</f>
        <v>97405610.844076186</v>
      </c>
      <c r="F176" s="82">
        <f t="shared" si="42"/>
        <v>102435487.49337257</v>
      </c>
      <c r="G176" s="82">
        <f t="shared" si="42"/>
        <v>107797170.12641346</v>
      </c>
      <c r="H176" s="82">
        <f t="shared" si="42"/>
        <v>113438932.30402495</v>
      </c>
      <c r="I176" s="82">
        <f t="shared" si="42"/>
        <v>119375377.77408159</v>
      </c>
      <c r="J176" s="82">
        <f t="shared" si="42"/>
        <v>125621870.46038382</v>
      </c>
    </row>
    <row r="177" spans="1:10" ht="15.75" customHeight="1">
      <c r="A177" s="73"/>
      <c r="B177" s="73"/>
      <c r="C177" s="73"/>
      <c r="D177" s="73"/>
      <c r="E177" s="73"/>
      <c r="F177" s="73"/>
      <c r="G177" s="73"/>
      <c r="H177" s="73"/>
      <c r="I177" s="73"/>
      <c r="J177" s="73"/>
    </row>
    <row r="178" spans="1:10" ht="15.75" customHeight="1">
      <c r="A178" s="192" t="s">
        <v>348</v>
      </c>
      <c r="B178" s="192"/>
      <c r="C178" s="192"/>
      <c r="D178" s="82"/>
      <c r="E178" s="82"/>
      <c r="F178" s="82"/>
      <c r="G178" s="82"/>
      <c r="H178" s="82"/>
      <c r="I178" s="82"/>
      <c r="J178" s="82"/>
    </row>
    <row r="179" spans="1:10" ht="15.75" customHeight="1">
      <c r="A179" s="78" t="s">
        <v>580</v>
      </c>
      <c r="B179" s="50">
        <v>3</v>
      </c>
      <c r="C179" s="79">
        <v>20000</v>
      </c>
      <c r="D179" s="80">
        <f t="shared" ref="D179:J179" si="43">$B$179*$C$179*12*D135</f>
        <v>503999.99999999994</v>
      </c>
      <c r="E179" s="80">
        <f t="shared" si="43"/>
        <v>540000</v>
      </c>
      <c r="F179" s="80">
        <f t="shared" si="43"/>
        <v>576000</v>
      </c>
      <c r="G179" s="80">
        <f t="shared" si="43"/>
        <v>612000</v>
      </c>
      <c r="H179" s="80">
        <f t="shared" si="43"/>
        <v>648000</v>
      </c>
      <c r="I179" s="80">
        <f t="shared" si="43"/>
        <v>684000</v>
      </c>
      <c r="J179" s="80">
        <f t="shared" si="43"/>
        <v>720000</v>
      </c>
    </row>
    <row r="180" spans="1:10" ht="15.75" customHeight="1">
      <c r="A180" s="78"/>
      <c r="B180" s="50"/>
      <c r="C180" s="79"/>
      <c r="D180" s="80"/>
      <c r="E180" s="80"/>
      <c r="F180" s="80"/>
      <c r="G180" s="80"/>
      <c r="H180" s="80"/>
      <c r="I180" s="80"/>
      <c r="J180" s="80"/>
    </row>
    <row r="181" spans="1:10" ht="15.75" customHeight="1">
      <c r="A181" s="78"/>
      <c r="B181" s="50"/>
      <c r="C181" s="79"/>
      <c r="D181" s="80"/>
      <c r="E181" s="80"/>
      <c r="F181" s="80"/>
      <c r="G181" s="80"/>
      <c r="H181" s="80"/>
      <c r="I181" s="80"/>
      <c r="J181" s="80"/>
    </row>
    <row r="182" spans="1:10" ht="15.75" customHeight="1">
      <c r="A182" s="78"/>
      <c r="B182" s="50"/>
      <c r="C182" s="79"/>
      <c r="D182" s="80"/>
      <c r="E182" s="80"/>
      <c r="F182" s="80"/>
      <c r="G182" s="80"/>
      <c r="H182" s="80"/>
      <c r="I182" s="80"/>
      <c r="J182" s="80"/>
    </row>
    <row r="183" spans="1:10" ht="15.75" customHeight="1">
      <c r="A183" s="78"/>
      <c r="B183" s="50"/>
      <c r="C183" s="79"/>
      <c r="D183" s="80"/>
      <c r="E183" s="80"/>
      <c r="F183" s="80"/>
      <c r="G183" s="80"/>
      <c r="H183" s="80"/>
      <c r="I183" s="80"/>
      <c r="J183" s="80"/>
    </row>
    <row r="184" spans="1:10" ht="15.75" customHeight="1">
      <c r="A184" s="81" t="s">
        <v>348</v>
      </c>
      <c r="B184" s="81"/>
      <c r="C184" s="81"/>
      <c r="D184" s="82">
        <f>SUM(D179:D183)</f>
        <v>503999.99999999994</v>
      </c>
      <c r="E184" s="82">
        <f t="shared" ref="E184:J184" si="44">SUM(E179:E183)</f>
        <v>540000</v>
      </c>
      <c r="F184" s="82">
        <f t="shared" si="44"/>
        <v>576000</v>
      </c>
      <c r="G184" s="82">
        <f t="shared" si="44"/>
        <v>612000</v>
      </c>
      <c r="H184" s="82">
        <f t="shared" si="44"/>
        <v>648000</v>
      </c>
      <c r="I184" s="82">
        <f t="shared" si="44"/>
        <v>684000</v>
      </c>
      <c r="J184" s="82">
        <f t="shared" si="44"/>
        <v>720000</v>
      </c>
    </row>
    <row r="185" spans="1:10" ht="15.75" customHeight="1">
      <c r="A185" s="192" t="s">
        <v>608</v>
      </c>
      <c r="B185" s="192"/>
      <c r="C185" s="192"/>
      <c r="D185" s="82">
        <f t="shared" ref="D185:J185" si="45">D176+D184</f>
        <v>89842330.865109384</v>
      </c>
      <c r="E185" s="82">
        <f t="shared" si="45"/>
        <v>97945610.844076186</v>
      </c>
      <c r="F185" s="82">
        <f t="shared" si="45"/>
        <v>103011487.49337257</v>
      </c>
      <c r="G185" s="82">
        <f t="shared" si="45"/>
        <v>108409170.12641346</v>
      </c>
      <c r="H185" s="82">
        <f t="shared" si="45"/>
        <v>114086932.30402495</v>
      </c>
      <c r="I185" s="82">
        <f t="shared" si="45"/>
        <v>120059377.77408159</v>
      </c>
      <c r="J185" s="82">
        <f t="shared" si="45"/>
        <v>126341870.46038382</v>
      </c>
    </row>
    <row r="186" spans="1:10" ht="15.75" customHeight="1">
      <c r="A186" s="78"/>
      <c r="B186" s="78"/>
      <c r="C186" s="78"/>
      <c r="D186" s="80"/>
      <c r="E186" s="80"/>
      <c r="F186" s="80"/>
      <c r="G186" s="80"/>
      <c r="H186" s="80"/>
      <c r="I186" s="80"/>
      <c r="J186" s="80"/>
    </row>
    <row r="187" spans="1:10" ht="15.75" customHeight="1">
      <c r="A187" s="81" t="s">
        <v>395</v>
      </c>
      <c r="B187" s="81"/>
      <c r="C187" s="81"/>
      <c r="D187" s="82">
        <f>D152-D185</f>
        <v>1841319.300515607</v>
      </c>
      <c r="E187" s="82">
        <f t="shared" ref="E187:J187" si="46">E152-E185</f>
        <v>3249623.7017050833</v>
      </c>
      <c r="F187" s="82">
        <f t="shared" si="46"/>
        <v>4166115.2328227311</v>
      </c>
      <c r="G187" s="82">
        <f t="shared" si="46"/>
        <v>5096049.5118728727</v>
      </c>
      <c r="H187" s="82">
        <f t="shared" si="46"/>
        <v>6110721.9307460189</v>
      </c>
      <c r="I187" s="82">
        <f t="shared" si="46"/>
        <v>7216191.4677267373</v>
      </c>
      <c r="J187" s="82">
        <f t="shared" si="46"/>
        <v>8418911.1535787135</v>
      </c>
    </row>
    <row r="188" spans="1:10" ht="15.75" customHeight="1">
      <c r="A188" s="97"/>
      <c r="B188" s="97"/>
      <c r="C188" s="97"/>
      <c r="D188" s="73"/>
      <c r="E188" s="73"/>
      <c r="F188" s="73"/>
      <c r="G188" s="73"/>
      <c r="H188" s="73"/>
      <c r="I188" s="73"/>
      <c r="J188" s="73"/>
    </row>
    <row r="189" spans="1:10" ht="15.75" customHeight="1">
      <c r="A189" s="73"/>
      <c r="B189" s="73"/>
      <c r="C189" s="73"/>
      <c r="D189" s="73"/>
      <c r="E189" s="73"/>
      <c r="F189" s="73"/>
      <c r="G189" s="73"/>
      <c r="H189" s="73"/>
      <c r="I189" s="73"/>
      <c r="J189" s="73"/>
    </row>
    <row r="190" spans="1:10" ht="15.75" customHeight="1">
      <c r="A190" s="73"/>
      <c r="B190" s="73"/>
      <c r="C190" s="73"/>
      <c r="D190" s="73"/>
      <c r="E190" s="73"/>
      <c r="F190" s="73"/>
      <c r="G190" s="73"/>
      <c r="H190" s="73"/>
      <c r="I190" s="73"/>
      <c r="J190" s="73"/>
    </row>
    <row r="191" spans="1:10" ht="15.75" customHeight="1">
      <c r="A191" s="342" t="s">
        <v>705</v>
      </c>
      <c r="B191" s="324"/>
      <c r="C191" s="324"/>
      <c r="D191" s="324"/>
      <c r="E191" s="324"/>
      <c r="F191" s="324"/>
      <c r="G191" s="324"/>
      <c r="H191" s="324"/>
      <c r="I191" s="324"/>
      <c r="J191" s="324"/>
    </row>
    <row r="192" spans="1:10" ht="15.75" customHeight="1"/>
    <row r="193" spans="1:2" ht="15.75" customHeight="1">
      <c r="A193" t="s">
        <v>306</v>
      </c>
    </row>
    <row r="194" spans="1:2" ht="15.75" customHeight="1">
      <c r="A194">
        <v>1</v>
      </c>
      <c r="B194" t="s">
        <v>585</v>
      </c>
    </row>
    <row r="195" spans="1:2" ht="15.75" customHeight="1">
      <c r="A195">
        <v>2</v>
      </c>
      <c r="B195" t="s">
        <v>586</v>
      </c>
    </row>
    <row r="196" spans="1:2" ht="15.75" customHeight="1">
      <c r="A196">
        <v>3</v>
      </c>
      <c r="B196" s="73" t="s">
        <v>587</v>
      </c>
    </row>
  </sheetData>
  <mergeCells count="4">
    <mergeCell ref="A133:J133"/>
    <mergeCell ref="A3:H3"/>
    <mergeCell ref="A191:J191"/>
    <mergeCell ref="A4:H4"/>
  </mergeCells>
  <pageMargins left="0.5" right="0.05" top="0.25" bottom="0.05" header="0" footer="0"/>
  <pageSetup paperSize="9" scale="41" orientation="portrait" r:id="rId1"/>
  <rowBreaks count="1" manualBreakCount="1">
    <brk id="126" max="9" man="1"/>
  </rowBreaks>
  <colBreaks count="1" manualBreakCount="1">
    <brk id="10" man="1"/>
  </colBreaks>
</worksheet>
</file>

<file path=xl/worksheets/sheet15.xml><?xml version="1.0" encoding="utf-8"?>
<worksheet xmlns="http://schemas.openxmlformats.org/spreadsheetml/2006/main" xmlns:r="http://schemas.openxmlformats.org/officeDocument/2006/relationships">
  <dimension ref="A1:J93"/>
  <sheetViews>
    <sheetView view="pageBreakPreview" topLeftCell="A30" zoomScale="108" zoomScaleSheetLayoutView="108" workbookViewId="0">
      <selection activeCell="D45" sqref="D45"/>
    </sheetView>
  </sheetViews>
  <sheetFormatPr defaultColWidth="14.42578125" defaultRowHeight="15" customHeight="1"/>
  <cols>
    <col min="1" max="1" width="30.42578125" customWidth="1"/>
    <col min="2" max="2" width="9.85546875" customWidth="1"/>
    <col min="3" max="3" width="11.140625" customWidth="1"/>
    <col min="4" max="9" width="10.140625" bestFit="1" customWidth="1"/>
    <col min="10" max="10" width="11.140625" customWidth="1"/>
    <col min="11" max="11" width="8.7109375" customWidth="1"/>
  </cols>
  <sheetData>
    <row r="1" spans="1:10" ht="18.75">
      <c r="A1" s="340" t="s">
        <v>609</v>
      </c>
      <c r="B1" s="324"/>
      <c r="C1" s="324"/>
      <c r="D1" s="324"/>
      <c r="E1" s="324"/>
      <c r="F1" s="324"/>
      <c r="G1" s="324"/>
      <c r="H1" s="324"/>
    </row>
    <row r="2" spans="1:10" ht="18.75">
      <c r="A2" s="340" t="s">
        <v>610</v>
      </c>
      <c r="B2" s="324"/>
      <c r="C2" s="324"/>
      <c r="D2" s="324"/>
      <c r="E2" s="324"/>
      <c r="F2" s="324"/>
      <c r="G2" s="324"/>
      <c r="H2" s="324"/>
    </row>
    <row r="3" spans="1:10">
      <c r="A3" s="73" t="s">
        <v>124</v>
      </c>
      <c r="B3" s="279">
        <v>500</v>
      </c>
      <c r="C3" s="280" t="s">
        <v>611</v>
      </c>
      <c r="D3" s="280"/>
      <c r="E3" s="280"/>
      <c r="F3" s="280"/>
      <c r="G3" s="73"/>
      <c r="H3" s="73"/>
    </row>
    <row r="4" spans="1:10">
      <c r="A4" s="73" t="s">
        <v>612</v>
      </c>
      <c r="B4" s="281">
        <v>12</v>
      </c>
      <c r="C4" s="73"/>
      <c r="D4" s="281"/>
      <c r="E4" s="281"/>
      <c r="F4" s="73"/>
      <c r="G4" s="73"/>
      <c r="H4" s="73"/>
    </row>
    <row r="5" spans="1:10">
      <c r="A5" s="73"/>
      <c r="B5" s="73"/>
      <c r="C5" s="281"/>
      <c r="D5" s="281"/>
      <c r="E5" s="281"/>
      <c r="F5" s="73"/>
      <c r="G5" s="73"/>
      <c r="H5" s="73"/>
    </row>
    <row r="6" spans="1:10">
      <c r="A6" s="76" t="s">
        <v>77</v>
      </c>
      <c r="B6" s="77" t="s">
        <v>145</v>
      </c>
      <c r="C6" s="77" t="s">
        <v>146</v>
      </c>
      <c r="D6" s="77" t="s">
        <v>147</v>
      </c>
      <c r="E6" s="77" t="s">
        <v>148</v>
      </c>
      <c r="F6" s="77" t="s">
        <v>149</v>
      </c>
      <c r="G6" s="77" t="s">
        <v>150</v>
      </c>
      <c r="H6" s="77" t="s">
        <v>151</v>
      </c>
    </row>
    <row r="7" spans="1:10">
      <c r="A7" s="78" t="s">
        <v>613</v>
      </c>
      <c r="B7" s="140">
        <v>0.8</v>
      </c>
      <c r="C7" s="140">
        <f t="shared" ref="C7:F7" si="0">B7+5%</f>
        <v>0.85000000000000009</v>
      </c>
      <c r="D7" s="140">
        <f t="shared" si="0"/>
        <v>0.90000000000000013</v>
      </c>
      <c r="E7" s="140">
        <f t="shared" si="0"/>
        <v>0.95000000000000018</v>
      </c>
      <c r="F7" s="140">
        <f t="shared" si="0"/>
        <v>1.0000000000000002</v>
      </c>
      <c r="G7" s="140">
        <f t="shared" ref="G7:H7" si="1">F7</f>
        <v>1.0000000000000002</v>
      </c>
      <c r="H7" s="140">
        <f t="shared" si="1"/>
        <v>1.0000000000000002</v>
      </c>
    </row>
    <row r="8" spans="1:10">
      <c r="A8" s="81" t="s">
        <v>614</v>
      </c>
      <c r="B8" s="239">
        <f>$B$3*B7*$B$4</f>
        <v>4800</v>
      </c>
      <c r="C8" s="239">
        <f t="shared" ref="C8:H8" si="2">$B$3*C7*$B$4</f>
        <v>5100.0000000000009</v>
      </c>
      <c r="D8" s="239">
        <f t="shared" si="2"/>
        <v>5400.0000000000009</v>
      </c>
      <c r="E8" s="239">
        <f t="shared" si="2"/>
        <v>5700.0000000000018</v>
      </c>
      <c r="F8" s="239">
        <f t="shared" si="2"/>
        <v>6000.0000000000018</v>
      </c>
      <c r="G8" s="239">
        <f t="shared" si="2"/>
        <v>6000.0000000000018</v>
      </c>
      <c r="H8" s="239">
        <f t="shared" si="2"/>
        <v>6000.0000000000018</v>
      </c>
    </row>
    <row r="10" spans="1:10" ht="18.75">
      <c r="A10" s="340" t="s">
        <v>615</v>
      </c>
      <c r="B10" s="324"/>
      <c r="C10" s="324"/>
      <c r="D10" s="324"/>
      <c r="E10" s="324"/>
      <c r="F10" s="324"/>
      <c r="G10" s="324"/>
      <c r="H10" s="324"/>
      <c r="I10" s="324"/>
      <c r="J10" s="324"/>
    </row>
    <row r="11" spans="1:10">
      <c r="A11" s="26"/>
      <c r="B11" s="26"/>
      <c r="C11" s="26"/>
      <c r="D11" s="26"/>
      <c r="E11" s="26"/>
      <c r="F11" s="26"/>
      <c r="G11" s="26"/>
      <c r="H11" s="26"/>
    </row>
    <row r="12" spans="1:10">
      <c r="A12" s="73"/>
      <c r="B12" s="73"/>
      <c r="C12" s="73"/>
      <c r="D12" s="74">
        <v>1</v>
      </c>
      <c r="E12" s="75">
        <v>1.01</v>
      </c>
      <c r="F12" s="75">
        <v>1.02</v>
      </c>
      <c r="G12" s="75">
        <v>1.03</v>
      </c>
      <c r="H12" s="75">
        <v>1.04</v>
      </c>
      <c r="I12" s="75">
        <v>1.05</v>
      </c>
      <c r="J12" s="75">
        <v>1.06</v>
      </c>
    </row>
    <row r="13" spans="1:10">
      <c r="A13" s="76" t="s">
        <v>142</v>
      </c>
      <c r="B13" s="76" t="s">
        <v>116</v>
      </c>
      <c r="C13" s="76" t="s">
        <v>126</v>
      </c>
      <c r="D13" s="77" t="s">
        <v>145</v>
      </c>
      <c r="E13" s="77" t="s">
        <v>146</v>
      </c>
      <c r="F13" s="77" t="s">
        <v>147</v>
      </c>
      <c r="G13" s="77" t="s">
        <v>148</v>
      </c>
      <c r="H13" s="77" t="s">
        <v>149</v>
      </c>
      <c r="I13" s="77" t="s">
        <v>150</v>
      </c>
      <c r="J13" s="77" t="s">
        <v>151</v>
      </c>
    </row>
    <row r="14" spans="1:10">
      <c r="A14" s="78"/>
      <c r="B14" s="78"/>
      <c r="C14" s="78"/>
      <c r="D14" s="78"/>
      <c r="E14" s="78"/>
      <c r="F14" s="78"/>
      <c r="G14" s="78"/>
      <c r="H14" s="78"/>
      <c r="I14" s="78"/>
      <c r="J14" s="78"/>
    </row>
    <row r="15" spans="1:10">
      <c r="A15" s="81" t="s">
        <v>711</v>
      </c>
      <c r="B15" s="81"/>
      <c r="C15" s="81"/>
      <c r="D15" s="78"/>
      <c r="E15" s="78"/>
      <c r="F15" s="78"/>
      <c r="G15" s="78"/>
      <c r="H15" s="78"/>
      <c r="I15" s="78"/>
      <c r="J15" s="78"/>
    </row>
    <row r="16" spans="1:10" ht="15.75" customHeight="1">
      <c r="A16" s="78" t="s">
        <v>712</v>
      </c>
      <c r="B16" s="78"/>
      <c r="C16" s="79">
        <v>1000</v>
      </c>
      <c r="D16" s="80">
        <f>B8*$C$16*D12</f>
        <v>4800000</v>
      </c>
      <c r="E16" s="80">
        <f t="shared" ref="E16:J16" si="3">C8*$C$16*E12</f>
        <v>5151000.0000000009</v>
      </c>
      <c r="F16" s="80">
        <f t="shared" si="3"/>
        <v>5508000.0000000009</v>
      </c>
      <c r="G16" s="80">
        <f t="shared" si="3"/>
        <v>5871000.0000000019</v>
      </c>
      <c r="H16" s="80">
        <f t="shared" si="3"/>
        <v>6240000.0000000019</v>
      </c>
      <c r="I16" s="80">
        <f t="shared" si="3"/>
        <v>6300000.0000000019</v>
      </c>
      <c r="J16" s="80">
        <f t="shared" si="3"/>
        <v>6360000.0000000019</v>
      </c>
    </row>
    <row r="17" spans="1:10" ht="15.75" customHeight="1">
      <c r="A17" s="78"/>
      <c r="B17" s="78"/>
      <c r="C17" s="80"/>
      <c r="D17" s="80"/>
      <c r="E17" s="80"/>
      <c r="F17" s="80"/>
      <c r="G17" s="80"/>
      <c r="H17" s="80"/>
      <c r="I17" s="80"/>
      <c r="J17" s="80"/>
    </row>
    <row r="18" spans="1:10" ht="15.75" customHeight="1">
      <c r="A18" s="81" t="s">
        <v>345</v>
      </c>
      <c r="B18" s="81"/>
      <c r="C18" s="82"/>
      <c r="D18" s="80">
        <f t="shared" ref="D18:J18" si="4">SUM(D16)</f>
        <v>4800000</v>
      </c>
      <c r="E18" s="80">
        <f t="shared" si="4"/>
        <v>5151000.0000000009</v>
      </c>
      <c r="F18" s="80">
        <f t="shared" si="4"/>
        <v>5508000.0000000009</v>
      </c>
      <c r="G18" s="80">
        <f t="shared" si="4"/>
        <v>5871000.0000000019</v>
      </c>
      <c r="H18" s="80">
        <f t="shared" si="4"/>
        <v>6240000.0000000019</v>
      </c>
      <c r="I18" s="80">
        <f t="shared" si="4"/>
        <v>6300000.0000000019</v>
      </c>
      <c r="J18" s="80">
        <f t="shared" si="4"/>
        <v>6360000.0000000019</v>
      </c>
    </row>
    <row r="19" spans="1:10" ht="15.75" customHeight="1">
      <c r="A19" s="78"/>
      <c r="B19" s="78"/>
      <c r="C19" s="80"/>
      <c r="D19" s="80"/>
      <c r="E19" s="80"/>
      <c r="F19" s="80"/>
      <c r="G19" s="80"/>
      <c r="H19" s="80"/>
      <c r="I19" s="80"/>
      <c r="J19" s="80"/>
    </row>
    <row r="20" spans="1:10" ht="15.75" customHeight="1">
      <c r="A20" s="81" t="s">
        <v>573</v>
      </c>
      <c r="B20" s="81"/>
      <c r="C20" s="80"/>
      <c r="D20" s="80"/>
      <c r="E20" s="80"/>
      <c r="F20" s="80"/>
      <c r="G20" s="80"/>
      <c r="H20" s="80"/>
      <c r="I20" s="80"/>
      <c r="J20" s="80"/>
    </row>
    <row r="21" spans="1:10" ht="15.75" customHeight="1">
      <c r="A21" s="81" t="s">
        <v>346</v>
      </c>
      <c r="B21" s="81"/>
      <c r="C21" s="80"/>
      <c r="D21" s="80"/>
      <c r="E21" s="80"/>
      <c r="F21" s="80"/>
      <c r="G21" s="80"/>
      <c r="H21" s="80"/>
      <c r="I21" s="80"/>
      <c r="J21" s="80"/>
    </row>
    <row r="22" spans="1:10" ht="15.75" customHeight="1">
      <c r="A22" s="78" t="s">
        <v>616</v>
      </c>
      <c r="B22" s="50" t="s">
        <v>611</v>
      </c>
      <c r="C22" s="79">
        <v>15</v>
      </c>
      <c r="D22" s="80">
        <f>$B$3*$C$22*D12*4</f>
        <v>30000</v>
      </c>
      <c r="E22" s="80">
        <f t="shared" ref="E22:J22" si="5">$B$3*$C$22*E12*4</f>
        <v>30300</v>
      </c>
      <c r="F22" s="80">
        <f t="shared" si="5"/>
        <v>30600</v>
      </c>
      <c r="G22" s="80">
        <f t="shared" si="5"/>
        <v>30900</v>
      </c>
      <c r="H22" s="80">
        <f t="shared" si="5"/>
        <v>31200</v>
      </c>
      <c r="I22" s="80">
        <f t="shared" si="5"/>
        <v>31500</v>
      </c>
      <c r="J22" s="80">
        <f t="shared" si="5"/>
        <v>31800</v>
      </c>
    </row>
    <row r="23" spans="1:10" ht="15.75" customHeight="1">
      <c r="A23" s="78" t="s">
        <v>617</v>
      </c>
      <c r="B23" s="50" t="s">
        <v>611</v>
      </c>
      <c r="C23" s="79">
        <v>14</v>
      </c>
      <c r="D23" s="80">
        <f>$B$3*$C$23*D12*12</f>
        <v>84000</v>
      </c>
      <c r="E23" s="80">
        <f t="shared" ref="E23:J23" si="6">$B$3*$C$23*E12*12</f>
        <v>84840</v>
      </c>
      <c r="F23" s="80">
        <f t="shared" si="6"/>
        <v>85680</v>
      </c>
      <c r="G23" s="80">
        <f t="shared" si="6"/>
        <v>86520</v>
      </c>
      <c r="H23" s="80">
        <f t="shared" si="6"/>
        <v>87360</v>
      </c>
      <c r="I23" s="80">
        <f t="shared" si="6"/>
        <v>88200</v>
      </c>
      <c r="J23" s="80">
        <f t="shared" si="6"/>
        <v>89040</v>
      </c>
    </row>
    <row r="24" spans="1:10" ht="15.75" customHeight="1">
      <c r="A24" s="78" t="s">
        <v>618</v>
      </c>
      <c r="B24" s="50"/>
      <c r="C24" s="79">
        <f>B3*12</f>
        <v>6000</v>
      </c>
      <c r="D24" s="80">
        <f>$C$24*12*D12</f>
        <v>72000</v>
      </c>
      <c r="E24" s="80">
        <f t="shared" ref="E24:J24" si="7">$C$24*12*E12</f>
        <v>72720</v>
      </c>
      <c r="F24" s="80">
        <f t="shared" si="7"/>
        <v>73440</v>
      </c>
      <c r="G24" s="80">
        <f t="shared" si="7"/>
        <v>74160</v>
      </c>
      <c r="H24" s="80">
        <f t="shared" si="7"/>
        <v>74880</v>
      </c>
      <c r="I24" s="80">
        <f t="shared" si="7"/>
        <v>75600</v>
      </c>
      <c r="J24" s="80">
        <f t="shared" si="7"/>
        <v>76320</v>
      </c>
    </row>
    <row r="25" spans="1:10" ht="15.75" customHeight="1">
      <c r="A25" s="78"/>
      <c r="B25" s="50"/>
      <c r="C25" s="79"/>
      <c r="D25" s="80"/>
      <c r="E25" s="80"/>
      <c r="F25" s="80"/>
      <c r="G25" s="80"/>
      <c r="H25" s="80"/>
      <c r="I25" s="80"/>
      <c r="J25" s="80"/>
    </row>
    <row r="26" spans="1:10" ht="15.75" customHeight="1">
      <c r="A26" s="78"/>
      <c r="B26" s="50"/>
      <c r="C26" s="79"/>
      <c r="D26" s="80"/>
      <c r="E26" s="80"/>
      <c r="F26" s="80"/>
      <c r="G26" s="80"/>
      <c r="H26" s="80"/>
      <c r="I26" s="80"/>
      <c r="J26" s="80"/>
    </row>
    <row r="27" spans="1:10" ht="15.75" customHeight="1">
      <c r="A27" s="78"/>
      <c r="B27" s="50"/>
      <c r="C27" s="79"/>
      <c r="D27" s="80"/>
      <c r="E27" s="80"/>
      <c r="F27" s="80"/>
      <c r="G27" s="80"/>
      <c r="H27" s="80"/>
      <c r="I27" s="80"/>
      <c r="J27" s="80"/>
    </row>
    <row r="28" spans="1:10" ht="15.75" customHeight="1">
      <c r="A28" s="78"/>
      <c r="B28" s="50"/>
      <c r="C28" s="79"/>
      <c r="D28" s="80"/>
      <c r="E28" s="80"/>
      <c r="F28" s="80"/>
      <c r="G28" s="80"/>
      <c r="H28" s="80"/>
      <c r="I28" s="80"/>
      <c r="J28" s="80"/>
    </row>
    <row r="29" spans="1:10" ht="15.75" customHeight="1">
      <c r="A29" s="81" t="s">
        <v>347</v>
      </c>
      <c r="B29" s="55"/>
      <c r="C29" s="272"/>
      <c r="D29" s="82">
        <f>SUM(D22:D28)</f>
        <v>186000</v>
      </c>
      <c r="E29" s="82">
        <f t="shared" ref="E29:J29" si="8">SUM(E22:E28)</f>
        <v>187860</v>
      </c>
      <c r="F29" s="82">
        <f t="shared" si="8"/>
        <v>189720</v>
      </c>
      <c r="G29" s="82">
        <f t="shared" si="8"/>
        <v>191580</v>
      </c>
      <c r="H29" s="82">
        <f t="shared" si="8"/>
        <v>193440</v>
      </c>
      <c r="I29" s="82">
        <f t="shared" si="8"/>
        <v>195300</v>
      </c>
      <c r="J29" s="82">
        <f t="shared" si="8"/>
        <v>197160</v>
      </c>
    </row>
    <row r="30" spans="1:10" ht="15.75" customHeight="1">
      <c r="A30" s="81"/>
      <c r="B30" s="55"/>
      <c r="C30" s="272"/>
      <c r="D30" s="82"/>
      <c r="E30" s="82"/>
      <c r="F30" s="82"/>
      <c r="G30" s="82"/>
      <c r="H30" s="82"/>
      <c r="I30" s="82"/>
      <c r="J30" s="82"/>
    </row>
    <row r="31" spans="1:10" ht="15.75" customHeight="1">
      <c r="A31" s="81" t="s">
        <v>348</v>
      </c>
      <c r="B31" s="50"/>
      <c r="C31" s="79"/>
      <c r="D31" s="80"/>
      <c r="E31" s="80"/>
      <c r="F31" s="80"/>
      <c r="G31" s="80"/>
      <c r="H31" s="80"/>
      <c r="I31" s="80"/>
      <c r="J31" s="80"/>
    </row>
    <row r="32" spans="1:10" ht="15.75" customHeight="1">
      <c r="A32" s="78" t="s">
        <v>619</v>
      </c>
      <c r="B32" s="50">
        <v>1</v>
      </c>
      <c r="C32" s="79">
        <v>18000</v>
      </c>
      <c r="D32" s="80">
        <f t="shared" ref="D32:J32" si="9">$B$32*$C$32*D12*12</f>
        <v>216000</v>
      </c>
      <c r="E32" s="80">
        <f t="shared" si="9"/>
        <v>218160</v>
      </c>
      <c r="F32" s="80">
        <f t="shared" si="9"/>
        <v>220320</v>
      </c>
      <c r="G32" s="80">
        <f t="shared" si="9"/>
        <v>222480</v>
      </c>
      <c r="H32" s="80">
        <f t="shared" si="9"/>
        <v>224640</v>
      </c>
      <c r="I32" s="80">
        <f t="shared" si="9"/>
        <v>226800</v>
      </c>
      <c r="J32" s="80">
        <f t="shared" si="9"/>
        <v>228960</v>
      </c>
    </row>
    <row r="33" spans="1:10" ht="15.75" customHeight="1">
      <c r="A33" s="78"/>
      <c r="B33" s="50"/>
      <c r="C33" s="79"/>
      <c r="D33" s="80"/>
      <c r="E33" s="80"/>
      <c r="F33" s="80"/>
      <c r="G33" s="80"/>
      <c r="H33" s="80"/>
      <c r="I33" s="80"/>
      <c r="J33" s="80"/>
    </row>
    <row r="34" spans="1:10" ht="15.75" customHeight="1">
      <c r="A34" s="78"/>
      <c r="B34" s="50"/>
      <c r="C34" s="79"/>
      <c r="D34" s="80"/>
      <c r="E34" s="80"/>
      <c r="F34" s="80"/>
      <c r="G34" s="80"/>
      <c r="H34" s="80"/>
      <c r="I34" s="80"/>
      <c r="J34" s="80"/>
    </row>
    <row r="35" spans="1:10" ht="15.75" customHeight="1">
      <c r="A35" s="78"/>
      <c r="B35" s="50"/>
      <c r="C35" s="79"/>
      <c r="D35" s="80"/>
      <c r="E35" s="80"/>
      <c r="F35" s="80"/>
      <c r="G35" s="80"/>
      <c r="H35" s="80"/>
      <c r="I35" s="80"/>
      <c r="J35" s="80"/>
    </row>
    <row r="36" spans="1:10" ht="15.75" customHeight="1">
      <c r="A36" s="78"/>
      <c r="B36" s="50"/>
      <c r="C36" s="79"/>
      <c r="D36" s="80"/>
      <c r="E36" s="80"/>
      <c r="F36" s="80"/>
      <c r="G36" s="80"/>
      <c r="H36" s="80"/>
      <c r="I36" s="80"/>
      <c r="J36" s="80"/>
    </row>
    <row r="37" spans="1:10" ht="15.75" customHeight="1">
      <c r="A37" s="78"/>
      <c r="B37" s="50"/>
      <c r="C37" s="79"/>
      <c r="D37" s="80"/>
      <c r="E37" s="80"/>
      <c r="F37" s="80"/>
      <c r="G37" s="80"/>
      <c r="H37" s="80"/>
      <c r="I37" s="80"/>
      <c r="J37" s="80"/>
    </row>
    <row r="38" spans="1:10" ht="15.75" customHeight="1">
      <c r="A38" s="81" t="s">
        <v>350</v>
      </c>
      <c r="B38" s="81"/>
      <c r="C38" s="82"/>
      <c r="D38" s="82">
        <f t="shared" ref="D38:J38" si="10">SUM(D32:D37)</f>
        <v>216000</v>
      </c>
      <c r="E38" s="82">
        <f t="shared" si="10"/>
        <v>218160</v>
      </c>
      <c r="F38" s="82">
        <f t="shared" si="10"/>
        <v>220320</v>
      </c>
      <c r="G38" s="82">
        <f t="shared" si="10"/>
        <v>222480</v>
      </c>
      <c r="H38" s="82">
        <f t="shared" si="10"/>
        <v>224640</v>
      </c>
      <c r="I38" s="82">
        <f t="shared" si="10"/>
        <v>226800</v>
      </c>
      <c r="J38" s="82">
        <f t="shared" si="10"/>
        <v>228960</v>
      </c>
    </row>
    <row r="39" spans="1:10" ht="15.75" customHeight="1">
      <c r="A39" s="81"/>
      <c r="B39" s="81"/>
      <c r="C39" s="82"/>
      <c r="D39" s="82"/>
      <c r="E39" s="82"/>
      <c r="F39" s="82"/>
      <c r="G39" s="82"/>
      <c r="H39" s="82"/>
      <c r="I39" s="82"/>
      <c r="J39" s="82"/>
    </row>
    <row r="40" spans="1:10" ht="15.75" customHeight="1">
      <c r="A40" s="81" t="s">
        <v>581</v>
      </c>
      <c r="B40" s="81"/>
      <c r="C40" s="82"/>
      <c r="D40" s="82">
        <f>D29+D38</f>
        <v>402000</v>
      </c>
      <c r="E40" s="82">
        <f t="shared" ref="E40:J40" si="11">E29+E38</f>
        <v>406020</v>
      </c>
      <c r="F40" s="82">
        <f t="shared" si="11"/>
        <v>410040</v>
      </c>
      <c r="G40" s="82">
        <f t="shared" si="11"/>
        <v>414060</v>
      </c>
      <c r="H40" s="82">
        <f t="shared" si="11"/>
        <v>418080</v>
      </c>
      <c r="I40" s="82">
        <f t="shared" si="11"/>
        <v>422100</v>
      </c>
      <c r="J40" s="82">
        <f t="shared" si="11"/>
        <v>426120</v>
      </c>
    </row>
    <row r="41" spans="1:10" ht="15.75" customHeight="1">
      <c r="A41" s="78"/>
      <c r="B41" s="78"/>
      <c r="C41" s="80"/>
      <c r="D41" s="80"/>
      <c r="E41" s="80"/>
      <c r="F41" s="80"/>
      <c r="G41" s="80"/>
      <c r="H41" s="80"/>
      <c r="I41" s="80"/>
      <c r="J41" s="80"/>
    </row>
    <row r="42" spans="1:10" ht="15.75" customHeight="1">
      <c r="A42" s="81" t="s">
        <v>620</v>
      </c>
      <c r="B42" s="81"/>
      <c r="C42" s="82"/>
      <c r="D42" s="82">
        <f>D18-D40</f>
        <v>4398000</v>
      </c>
      <c r="E42" s="82">
        <f t="shared" ref="E42:J42" si="12">E18-E40</f>
        <v>4744980.0000000009</v>
      </c>
      <c r="F42" s="82">
        <f t="shared" si="12"/>
        <v>5097960.0000000009</v>
      </c>
      <c r="G42" s="82">
        <f t="shared" si="12"/>
        <v>5456940.0000000019</v>
      </c>
      <c r="H42" s="82">
        <f t="shared" si="12"/>
        <v>5821920.0000000019</v>
      </c>
      <c r="I42" s="82">
        <f t="shared" si="12"/>
        <v>5877900.0000000019</v>
      </c>
      <c r="J42" s="82">
        <f t="shared" si="12"/>
        <v>5933880.0000000019</v>
      </c>
    </row>
    <row r="43" spans="1:10" ht="15.75" customHeight="1">
      <c r="A43" s="73"/>
      <c r="B43" s="73"/>
      <c r="C43" s="73"/>
      <c r="D43" s="73"/>
      <c r="E43" s="73"/>
      <c r="F43" s="73"/>
      <c r="G43" s="73"/>
      <c r="H43" s="73"/>
      <c r="I43" s="73"/>
      <c r="J43" s="73"/>
    </row>
    <row r="44" spans="1:10" ht="15.75" customHeight="1">
      <c r="A44" s="342" t="s">
        <v>706</v>
      </c>
      <c r="B44" s="324"/>
      <c r="C44" s="324"/>
      <c r="D44" s="324"/>
      <c r="E44" s="324"/>
      <c r="F44" s="324"/>
      <c r="G44" s="324"/>
      <c r="H44" s="324"/>
      <c r="I44" s="324"/>
      <c r="J44" s="324"/>
    </row>
    <row r="45" spans="1:10" ht="15.75" customHeight="1"/>
    <row r="46" spans="1:10" ht="15.75" customHeight="1">
      <c r="A46" t="s">
        <v>306</v>
      </c>
    </row>
    <row r="47" spans="1:10" ht="15.75" customHeight="1">
      <c r="A47">
        <v>1</v>
      </c>
      <c r="B47" t="s">
        <v>585</v>
      </c>
    </row>
    <row r="48" spans="1:10" ht="15.75" customHeight="1">
      <c r="A48">
        <v>2</v>
      </c>
      <c r="B48" t="s">
        <v>586</v>
      </c>
    </row>
    <row r="49" spans="1:2" ht="15.75" customHeight="1">
      <c r="A49">
        <v>3</v>
      </c>
      <c r="B49" s="73" t="s">
        <v>587</v>
      </c>
    </row>
    <row r="50" spans="1:2" ht="15.75" customHeight="1"/>
    <row r="51" spans="1:2" ht="15.75" customHeight="1"/>
    <row r="52" spans="1:2" ht="15.75" customHeight="1"/>
    <row r="53" spans="1:2" ht="15.75" customHeight="1"/>
    <row r="54" spans="1:2" ht="15.75" customHeight="1"/>
    <row r="55" spans="1:2" ht="15.75" customHeight="1"/>
    <row r="56" spans="1:2" ht="15.75" customHeight="1"/>
    <row r="57" spans="1:2" ht="15.75" customHeight="1"/>
    <row r="58" spans="1:2" ht="15.75" customHeight="1"/>
    <row r="59" spans="1:2" ht="15.75" customHeight="1"/>
    <row r="60" spans="1:2" ht="15.75" customHeight="1"/>
    <row r="61" spans="1:2" ht="15.75" customHeight="1"/>
    <row r="62" spans="1:2" ht="15.75" customHeight="1"/>
    <row r="63" spans="1:2" ht="15.75" customHeight="1"/>
    <row r="64" spans="1:2"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sheetData>
  <mergeCells count="4">
    <mergeCell ref="A10:J10"/>
    <mergeCell ref="A1:H1"/>
    <mergeCell ref="A44:J44"/>
    <mergeCell ref="A2:H2"/>
  </mergeCells>
  <pageMargins left="1.2" right="0.05" top="0.25" bottom="0.25" header="0" footer="0"/>
  <pageSetup paperSize="9" scale="70" orientation="landscape" r:id="rId1"/>
</worksheet>
</file>

<file path=xl/worksheets/sheet16.xml><?xml version="1.0" encoding="utf-8"?>
<worksheet xmlns="http://schemas.openxmlformats.org/spreadsheetml/2006/main" xmlns:r="http://schemas.openxmlformats.org/officeDocument/2006/relationships">
  <dimension ref="A3:P100"/>
  <sheetViews>
    <sheetView view="pageBreakPreview" topLeftCell="A45" zoomScale="104" zoomScaleSheetLayoutView="104" workbookViewId="0">
      <selection activeCell="E58" sqref="E58"/>
    </sheetView>
  </sheetViews>
  <sheetFormatPr defaultColWidth="14.42578125" defaultRowHeight="15" customHeight="1"/>
  <cols>
    <col min="1" max="2" width="29.42578125" customWidth="1"/>
    <col min="3" max="3" width="12.140625" customWidth="1"/>
    <col min="4" max="4" width="7.140625" customWidth="1"/>
    <col min="5" max="8" width="10.5703125" bestFit="1" customWidth="1"/>
    <col min="9" max="9" width="10.7109375" bestFit="1" customWidth="1"/>
    <col min="10" max="10" width="10.5703125" bestFit="1" customWidth="1"/>
    <col min="11" max="11" width="10.7109375" bestFit="1" customWidth="1"/>
    <col min="12" max="12" width="12.140625" customWidth="1"/>
    <col min="13" max="13" width="16" customWidth="1"/>
    <col min="14" max="14" width="23.28515625" customWidth="1"/>
    <col min="15" max="16" width="8.7109375" customWidth="1"/>
  </cols>
  <sheetData>
    <row r="3" spans="1:13" ht="18.75">
      <c r="A3" s="340" t="s">
        <v>621</v>
      </c>
      <c r="B3" s="324"/>
      <c r="C3" s="324"/>
      <c r="D3" s="324"/>
      <c r="E3" s="324"/>
      <c r="F3" s="324"/>
      <c r="G3" s="324"/>
      <c r="H3" s="324"/>
      <c r="I3" s="324"/>
      <c r="J3" s="324"/>
      <c r="K3" s="324"/>
      <c r="L3" s="324"/>
    </row>
    <row r="4" spans="1:13" ht="18.75">
      <c r="A4" s="340" t="s">
        <v>622</v>
      </c>
      <c r="B4" s="324"/>
      <c r="C4" s="324"/>
      <c r="D4" s="324"/>
      <c r="E4" s="324"/>
      <c r="F4" s="324"/>
      <c r="G4" s="324"/>
      <c r="H4" s="324"/>
      <c r="I4" s="324"/>
      <c r="J4" s="324"/>
      <c r="K4" s="324"/>
      <c r="L4" s="324"/>
    </row>
    <row r="5" spans="1:13">
      <c r="A5" s="73"/>
      <c r="B5" s="73"/>
      <c r="C5" s="73"/>
    </row>
    <row r="6" spans="1:13">
      <c r="A6" s="73"/>
      <c r="B6" s="73"/>
      <c r="C6" s="73"/>
    </row>
    <row r="7" spans="1:13" s="291" customFormat="1" ht="65.25" customHeight="1">
      <c r="A7" s="289" t="s">
        <v>76</v>
      </c>
      <c r="B7" s="290" t="s">
        <v>623</v>
      </c>
      <c r="C7" s="290" t="s">
        <v>624</v>
      </c>
      <c r="D7" s="290" t="s">
        <v>625</v>
      </c>
      <c r="E7" s="290" t="s">
        <v>626</v>
      </c>
      <c r="F7" s="290" t="s">
        <v>627</v>
      </c>
      <c r="G7" s="290" t="s">
        <v>628</v>
      </c>
      <c r="H7" s="290" t="s">
        <v>629</v>
      </c>
      <c r="I7" s="290" t="s">
        <v>630</v>
      </c>
      <c r="J7" s="297" t="s">
        <v>631</v>
      </c>
      <c r="K7" s="290" t="s">
        <v>632</v>
      </c>
      <c r="L7" s="297" t="s">
        <v>633</v>
      </c>
      <c r="M7" s="290" t="s">
        <v>634</v>
      </c>
    </row>
    <row r="8" spans="1:13">
      <c r="A8" s="282">
        <v>1</v>
      </c>
      <c r="B8" s="311" t="s">
        <v>635</v>
      </c>
      <c r="C8" s="246">
        <v>2</v>
      </c>
      <c r="D8" s="246">
        <v>50</v>
      </c>
      <c r="E8" s="246">
        <v>6</v>
      </c>
      <c r="F8" s="139">
        <f>D8*E8*C8</f>
        <v>600</v>
      </c>
      <c r="G8" s="246">
        <v>4</v>
      </c>
      <c r="H8" s="139">
        <f>F8/G8</f>
        <v>150</v>
      </c>
      <c r="I8" s="246">
        <v>12</v>
      </c>
      <c r="J8" s="139">
        <f>H8*I8</f>
        <v>1800</v>
      </c>
      <c r="K8" s="246">
        <v>2100</v>
      </c>
      <c r="L8" s="246">
        <v>2</v>
      </c>
      <c r="M8" s="139">
        <f>D8*L8</f>
        <v>100</v>
      </c>
    </row>
    <row r="9" spans="1:13">
      <c r="A9" s="282">
        <v>2</v>
      </c>
      <c r="B9" s="246" t="s">
        <v>636</v>
      </c>
      <c r="C9" s="246">
        <v>3</v>
      </c>
      <c r="D9" s="246">
        <v>50</v>
      </c>
      <c r="E9" s="246">
        <v>6</v>
      </c>
      <c r="F9" s="139">
        <f t="shared" ref="F9:F17" si="0">D9*E9*C9</f>
        <v>900</v>
      </c>
      <c r="G9" s="246">
        <v>2</v>
      </c>
      <c r="H9" s="139">
        <f t="shared" ref="H9:H12" si="1">F9/G9</f>
        <v>450</v>
      </c>
      <c r="I9" s="246">
        <v>8</v>
      </c>
      <c r="J9" s="139">
        <f t="shared" ref="J9:J17" si="2">H9*I9</f>
        <v>3600</v>
      </c>
      <c r="K9" s="246">
        <v>1050</v>
      </c>
      <c r="L9" s="246">
        <v>2</v>
      </c>
      <c r="M9" s="139">
        <f t="shared" ref="M9:M17" si="3">D9*L9</f>
        <v>100</v>
      </c>
    </row>
    <row r="10" spans="1:13">
      <c r="A10" s="282">
        <v>3</v>
      </c>
      <c r="B10" s="246" t="s">
        <v>637</v>
      </c>
      <c r="C10" s="246">
        <v>3</v>
      </c>
      <c r="D10" s="246">
        <v>55</v>
      </c>
      <c r="E10" s="246">
        <v>6</v>
      </c>
      <c r="F10" s="139">
        <f t="shared" si="0"/>
        <v>990</v>
      </c>
      <c r="G10" s="246">
        <v>2</v>
      </c>
      <c r="H10" s="139">
        <f t="shared" si="1"/>
        <v>495</v>
      </c>
      <c r="I10" s="246">
        <v>8</v>
      </c>
      <c r="J10" s="139">
        <f t="shared" si="2"/>
        <v>3960</v>
      </c>
      <c r="K10" s="246">
        <v>1050</v>
      </c>
      <c r="L10" s="246">
        <v>2</v>
      </c>
      <c r="M10" s="139">
        <f t="shared" si="3"/>
        <v>110</v>
      </c>
    </row>
    <row r="11" spans="1:13">
      <c r="A11" s="282">
        <v>4</v>
      </c>
      <c r="B11" s="246" t="s">
        <v>638</v>
      </c>
      <c r="C11" s="246">
        <v>3</v>
      </c>
      <c r="D11" s="246">
        <v>45</v>
      </c>
      <c r="E11" s="246">
        <v>6</v>
      </c>
      <c r="F11" s="139">
        <f t="shared" si="0"/>
        <v>810</v>
      </c>
      <c r="G11" s="246">
        <v>2</v>
      </c>
      <c r="H11" s="139">
        <f t="shared" si="1"/>
        <v>405</v>
      </c>
      <c r="I11" s="246">
        <v>4</v>
      </c>
      <c r="J11" s="139">
        <f t="shared" si="2"/>
        <v>1620</v>
      </c>
      <c r="K11" s="246">
        <v>750</v>
      </c>
      <c r="L11" s="246">
        <v>2</v>
      </c>
      <c r="M11" s="139">
        <f t="shared" si="3"/>
        <v>90</v>
      </c>
    </row>
    <row r="12" spans="1:13">
      <c r="A12" s="282">
        <v>5</v>
      </c>
      <c r="B12" s="246" t="s">
        <v>639</v>
      </c>
      <c r="C12" s="246">
        <v>2</v>
      </c>
      <c r="D12" s="246">
        <v>45</v>
      </c>
      <c r="E12" s="246">
        <v>6</v>
      </c>
      <c r="F12" s="139">
        <f t="shared" si="0"/>
        <v>540</v>
      </c>
      <c r="G12" s="246">
        <v>2</v>
      </c>
      <c r="H12" s="139">
        <f t="shared" si="1"/>
        <v>270</v>
      </c>
      <c r="I12" s="246">
        <v>10</v>
      </c>
      <c r="J12" s="139">
        <f t="shared" si="2"/>
        <v>2700</v>
      </c>
      <c r="K12" s="246">
        <v>1850</v>
      </c>
      <c r="L12" s="246">
        <v>2</v>
      </c>
      <c r="M12" s="139">
        <f t="shared" si="3"/>
        <v>90</v>
      </c>
    </row>
    <row r="13" spans="1:13">
      <c r="A13" s="282">
        <v>6</v>
      </c>
      <c r="B13" s="139"/>
      <c r="C13" s="139"/>
      <c r="D13" s="139"/>
      <c r="E13" s="139"/>
      <c r="F13" s="139">
        <f t="shared" si="0"/>
        <v>0</v>
      </c>
      <c r="G13" s="139">
        <v>0</v>
      </c>
      <c r="H13" s="246"/>
      <c r="I13" s="139"/>
      <c r="J13" s="139">
        <f t="shared" si="2"/>
        <v>0</v>
      </c>
      <c r="K13" s="139"/>
      <c r="L13" s="139"/>
      <c r="M13" s="139">
        <f t="shared" si="3"/>
        <v>0</v>
      </c>
    </row>
    <row r="14" spans="1:13">
      <c r="A14" s="282">
        <v>7</v>
      </c>
      <c r="B14" s="139"/>
      <c r="C14" s="139"/>
      <c r="D14" s="139"/>
      <c r="E14" s="139"/>
      <c r="F14" s="139">
        <f t="shared" si="0"/>
        <v>0</v>
      </c>
      <c r="G14" s="139">
        <v>0</v>
      </c>
      <c r="H14" s="246"/>
      <c r="I14" s="139"/>
      <c r="J14" s="139">
        <f t="shared" si="2"/>
        <v>0</v>
      </c>
      <c r="K14" s="139"/>
      <c r="L14" s="139"/>
      <c r="M14" s="139">
        <f t="shared" si="3"/>
        <v>0</v>
      </c>
    </row>
    <row r="15" spans="1:13">
      <c r="A15" s="282">
        <v>8</v>
      </c>
      <c r="B15" s="139"/>
      <c r="C15" s="139"/>
      <c r="D15" s="139"/>
      <c r="E15" s="139"/>
      <c r="F15" s="139">
        <f t="shared" si="0"/>
        <v>0</v>
      </c>
      <c r="G15" s="139">
        <v>0</v>
      </c>
      <c r="H15" s="246"/>
      <c r="I15" s="139"/>
      <c r="J15" s="139">
        <f t="shared" si="2"/>
        <v>0</v>
      </c>
      <c r="K15" s="139"/>
      <c r="L15" s="139"/>
      <c r="M15" s="139">
        <f t="shared" si="3"/>
        <v>0</v>
      </c>
    </row>
    <row r="16" spans="1:13">
      <c r="A16" s="282">
        <v>9</v>
      </c>
      <c r="B16" s="139"/>
      <c r="C16" s="139"/>
      <c r="D16" s="139"/>
      <c r="E16" s="139"/>
      <c r="F16" s="139">
        <f t="shared" si="0"/>
        <v>0</v>
      </c>
      <c r="G16" s="139">
        <v>0</v>
      </c>
      <c r="H16" s="246"/>
      <c r="I16" s="139"/>
      <c r="J16" s="139">
        <f t="shared" si="2"/>
        <v>0</v>
      </c>
      <c r="K16" s="139"/>
      <c r="L16" s="139"/>
      <c r="M16" s="139">
        <f t="shared" si="3"/>
        <v>0</v>
      </c>
    </row>
    <row r="17" spans="1:16">
      <c r="A17" s="282">
        <v>10</v>
      </c>
      <c r="B17" s="139"/>
      <c r="C17" s="139"/>
      <c r="D17" s="139"/>
      <c r="E17" s="139"/>
      <c r="F17" s="139">
        <f t="shared" si="0"/>
        <v>0</v>
      </c>
      <c r="G17" s="139">
        <v>0</v>
      </c>
      <c r="H17" s="246"/>
      <c r="I17" s="139"/>
      <c r="J17" s="139">
        <f t="shared" si="2"/>
        <v>0</v>
      </c>
      <c r="K17" s="139"/>
      <c r="L17" s="139"/>
      <c r="M17" s="139">
        <f t="shared" si="3"/>
        <v>0</v>
      </c>
    </row>
    <row r="18" spans="1:16">
      <c r="A18" s="48"/>
      <c r="B18" s="48"/>
    </row>
    <row r="19" spans="1:16">
      <c r="A19" s="48"/>
      <c r="B19" s="48"/>
    </row>
    <row r="21" spans="1:16" ht="15.75" customHeight="1">
      <c r="A21" s="340" t="s">
        <v>640</v>
      </c>
      <c r="B21" s="324"/>
      <c r="C21" s="324"/>
      <c r="D21" s="324"/>
      <c r="E21" s="324"/>
      <c r="F21" s="324"/>
      <c r="G21" s="324"/>
      <c r="H21" s="324"/>
      <c r="I21" s="324"/>
      <c r="J21" s="324"/>
      <c r="K21" s="324"/>
    </row>
    <row r="22" spans="1:16" ht="15.75" customHeight="1"/>
    <row r="23" spans="1:16" ht="15.75" customHeight="1">
      <c r="A23" s="73"/>
      <c r="B23" s="73"/>
      <c r="C23" s="73"/>
      <c r="D23" s="73"/>
      <c r="E23" s="74">
        <v>1</v>
      </c>
      <c r="F23" s="75">
        <f>(E23*2%)+E23</f>
        <v>1.02</v>
      </c>
      <c r="G23" s="75">
        <v>1.03</v>
      </c>
      <c r="H23" s="75">
        <f>(G23*7%)+G23</f>
        <v>1.1021000000000001</v>
      </c>
      <c r="I23" s="75">
        <f>(H23*8%)+H23</f>
        <v>1.1902680000000001</v>
      </c>
      <c r="J23" s="75">
        <f>(I23*9%)+I23</f>
        <v>1.29739212</v>
      </c>
      <c r="K23" s="75">
        <f>(J23*12%)+J23</f>
        <v>1.4530791744</v>
      </c>
    </row>
    <row r="24" spans="1:16" ht="15.75" customHeight="1">
      <c r="A24" s="76" t="s">
        <v>142</v>
      </c>
      <c r="B24" s="76" t="s">
        <v>116</v>
      </c>
      <c r="C24" s="76" t="s">
        <v>117</v>
      </c>
      <c r="D24" s="76" t="s">
        <v>126</v>
      </c>
      <c r="E24" s="77" t="s">
        <v>145</v>
      </c>
      <c r="F24" s="77" t="s">
        <v>146</v>
      </c>
      <c r="G24" s="77" t="s">
        <v>147</v>
      </c>
      <c r="H24" s="77" t="s">
        <v>148</v>
      </c>
      <c r="I24" s="77" t="s">
        <v>149</v>
      </c>
      <c r="J24" s="77" t="s">
        <v>150</v>
      </c>
      <c r="K24" s="77" t="s">
        <v>151</v>
      </c>
    </row>
    <row r="25" spans="1:16" ht="15.75" customHeight="1">
      <c r="A25" s="81"/>
      <c r="B25" s="81"/>
      <c r="C25" s="81"/>
      <c r="D25" s="81"/>
      <c r="E25" s="78"/>
      <c r="F25" s="78"/>
      <c r="G25" s="78"/>
      <c r="H25" s="78"/>
      <c r="I25" s="78"/>
      <c r="J25" s="78"/>
      <c r="K25" s="78"/>
    </row>
    <row r="26" spans="1:16" ht="15.75" customHeight="1">
      <c r="A26" s="81" t="s">
        <v>339</v>
      </c>
      <c r="B26" s="81"/>
      <c r="C26" s="81"/>
      <c r="D26" s="81"/>
      <c r="E26" s="78"/>
      <c r="F26" s="78"/>
      <c r="G26" s="78"/>
      <c r="H26" s="78"/>
      <c r="I26" s="78"/>
      <c r="J26" s="78"/>
      <c r="K26" s="78"/>
      <c r="P26" s="73"/>
    </row>
    <row r="27" spans="1:16" ht="15.75" customHeight="1">
      <c r="A27" s="192" t="s">
        <v>641</v>
      </c>
      <c r="B27" s="196"/>
      <c r="C27" s="196"/>
      <c r="D27" s="196"/>
      <c r="E27" s="80"/>
      <c r="F27" s="80"/>
      <c r="G27" s="80"/>
      <c r="H27" s="80"/>
      <c r="I27" s="80"/>
      <c r="J27" s="80"/>
      <c r="K27" s="80"/>
      <c r="P27" s="73"/>
    </row>
    <row r="28" spans="1:16" ht="15.75" customHeight="1">
      <c r="A28" s="196" t="str">
        <f t="shared" ref="A28:A32" si="4">B8</f>
        <v>Double Plough</v>
      </c>
      <c r="B28" s="196"/>
      <c r="C28" s="196">
        <f t="shared" ref="C28:C38" si="5">H8</f>
        <v>150</v>
      </c>
      <c r="D28" s="196">
        <f>+K8</f>
        <v>2100</v>
      </c>
      <c r="E28" s="80">
        <f t="shared" ref="E28:K28" si="6">$C$28*$D$28*E23</f>
        <v>315000</v>
      </c>
      <c r="F28" s="80">
        <f t="shared" si="6"/>
        <v>321300</v>
      </c>
      <c r="G28" s="80">
        <f t="shared" si="6"/>
        <v>324450</v>
      </c>
      <c r="H28" s="80">
        <f t="shared" si="6"/>
        <v>347161.5</v>
      </c>
      <c r="I28" s="80">
        <f t="shared" si="6"/>
        <v>374934.42000000004</v>
      </c>
      <c r="J28" s="80">
        <f t="shared" si="6"/>
        <v>408678.51780000003</v>
      </c>
      <c r="K28" s="80">
        <f t="shared" si="6"/>
        <v>457719.93993599998</v>
      </c>
      <c r="P28" s="73"/>
    </row>
    <row r="29" spans="1:16" ht="15.75" customHeight="1">
      <c r="A29" s="196" t="str">
        <f t="shared" si="4"/>
        <v>Cultivator</v>
      </c>
      <c r="B29" s="196"/>
      <c r="C29" s="196">
        <f t="shared" si="5"/>
        <v>450</v>
      </c>
      <c r="D29" s="196">
        <f t="shared" ref="D29:D32" si="7">+K9</f>
        <v>1050</v>
      </c>
      <c r="E29" s="80">
        <f t="shared" ref="E29:K29" si="8">$C$29*$D$29*E23</f>
        <v>472500</v>
      </c>
      <c r="F29" s="80">
        <f t="shared" si="8"/>
        <v>481950</v>
      </c>
      <c r="G29" s="80">
        <f t="shared" si="8"/>
        <v>486675</v>
      </c>
      <c r="H29" s="80">
        <f t="shared" si="8"/>
        <v>520742.25000000006</v>
      </c>
      <c r="I29" s="80">
        <f t="shared" si="8"/>
        <v>562401.63</v>
      </c>
      <c r="J29" s="80">
        <f t="shared" si="8"/>
        <v>613017.77670000005</v>
      </c>
      <c r="K29" s="80">
        <f t="shared" si="8"/>
        <v>686579.909904</v>
      </c>
      <c r="P29" s="73"/>
    </row>
    <row r="30" spans="1:16" ht="15.75" customHeight="1">
      <c r="A30" s="196" t="str">
        <f t="shared" si="4"/>
        <v>Rotavator</v>
      </c>
      <c r="B30" s="196"/>
      <c r="C30" s="196">
        <f t="shared" si="5"/>
        <v>495</v>
      </c>
      <c r="D30" s="196">
        <f t="shared" si="7"/>
        <v>1050</v>
      </c>
      <c r="E30" s="80">
        <f t="shared" ref="E30:K30" si="9">$C$30*$D$30*E23</f>
        <v>519750</v>
      </c>
      <c r="F30" s="80">
        <f t="shared" si="9"/>
        <v>530145</v>
      </c>
      <c r="G30" s="80">
        <f t="shared" si="9"/>
        <v>535342.5</v>
      </c>
      <c r="H30" s="80">
        <f t="shared" si="9"/>
        <v>572816.47500000009</v>
      </c>
      <c r="I30" s="80">
        <f t="shared" si="9"/>
        <v>618641.79300000006</v>
      </c>
      <c r="J30" s="80">
        <f t="shared" si="9"/>
        <v>674319.55437000003</v>
      </c>
      <c r="K30" s="80">
        <f t="shared" si="9"/>
        <v>755237.90089439997</v>
      </c>
      <c r="P30" s="73"/>
    </row>
    <row r="31" spans="1:16" ht="15.75" customHeight="1">
      <c r="A31" s="196" t="str">
        <f t="shared" si="4"/>
        <v>BBF Seed Sowing Machine</v>
      </c>
      <c r="B31" s="196"/>
      <c r="C31" s="196">
        <f t="shared" si="5"/>
        <v>405</v>
      </c>
      <c r="D31" s="196">
        <f t="shared" si="7"/>
        <v>750</v>
      </c>
      <c r="E31" s="80">
        <f t="shared" ref="E31:K31" si="10">$C$31*$D$31*E23</f>
        <v>303750</v>
      </c>
      <c r="F31" s="80">
        <f t="shared" si="10"/>
        <v>309825</v>
      </c>
      <c r="G31" s="80">
        <f t="shared" si="10"/>
        <v>312862.5</v>
      </c>
      <c r="H31" s="80">
        <f t="shared" si="10"/>
        <v>334762.875</v>
      </c>
      <c r="I31" s="80">
        <f t="shared" si="10"/>
        <v>361543.90500000003</v>
      </c>
      <c r="J31" s="80">
        <f t="shared" si="10"/>
        <v>394082.85645000002</v>
      </c>
      <c r="K31" s="80">
        <f t="shared" si="10"/>
        <v>441372.79922400002</v>
      </c>
      <c r="P31" s="73"/>
    </row>
    <row r="32" spans="1:16" ht="15.75" customHeight="1">
      <c r="A32" s="196" t="str">
        <f t="shared" si="4"/>
        <v>Mobile Threshing</v>
      </c>
      <c r="B32" s="196"/>
      <c r="C32" s="196">
        <f t="shared" si="5"/>
        <v>270</v>
      </c>
      <c r="D32" s="196">
        <f t="shared" si="7"/>
        <v>1850</v>
      </c>
      <c r="E32" s="80">
        <f t="shared" ref="E32:K32" si="11">$C$32*$D$32*E23</f>
        <v>499500</v>
      </c>
      <c r="F32" s="80">
        <f t="shared" si="11"/>
        <v>509490</v>
      </c>
      <c r="G32" s="80">
        <f t="shared" si="11"/>
        <v>514485</v>
      </c>
      <c r="H32" s="80">
        <f t="shared" si="11"/>
        <v>550498.95000000007</v>
      </c>
      <c r="I32" s="80">
        <f t="shared" si="11"/>
        <v>594538.86600000004</v>
      </c>
      <c r="J32" s="80">
        <f t="shared" si="11"/>
        <v>648047.36394000007</v>
      </c>
      <c r="K32" s="80">
        <f t="shared" si="11"/>
        <v>725813.04761280003</v>
      </c>
      <c r="P32" s="73"/>
    </row>
    <row r="33" spans="1:16" ht="15.75" customHeight="1">
      <c r="A33" s="196"/>
      <c r="B33" s="196"/>
      <c r="C33" s="196">
        <f t="shared" si="5"/>
        <v>0</v>
      </c>
      <c r="D33" s="196">
        <f t="shared" ref="D33:D38" si="12">K13</f>
        <v>0</v>
      </c>
      <c r="E33" s="80">
        <f t="shared" ref="E33:K33" si="13">$C$33*$D$33*E23</f>
        <v>0</v>
      </c>
      <c r="F33" s="80">
        <f t="shared" si="13"/>
        <v>0</v>
      </c>
      <c r="G33" s="80">
        <f t="shared" si="13"/>
        <v>0</v>
      </c>
      <c r="H33" s="80">
        <f t="shared" si="13"/>
        <v>0</v>
      </c>
      <c r="I33" s="80">
        <f t="shared" si="13"/>
        <v>0</v>
      </c>
      <c r="J33" s="80">
        <f t="shared" si="13"/>
        <v>0</v>
      </c>
      <c r="K33" s="80">
        <f t="shared" si="13"/>
        <v>0</v>
      </c>
      <c r="P33" s="73"/>
    </row>
    <row r="34" spans="1:16" ht="15.75" customHeight="1">
      <c r="A34" s="196"/>
      <c r="B34" s="196"/>
      <c r="C34" s="196">
        <f t="shared" si="5"/>
        <v>0</v>
      </c>
      <c r="D34" s="196">
        <f t="shared" si="12"/>
        <v>0</v>
      </c>
      <c r="E34" s="80">
        <f t="shared" ref="E34:K34" si="14">$C$34*$D$34*E23</f>
        <v>0</v>
      </c>
      <c r="F34" s="80">
        <f t="shared" si="14"/>
        <v>0</v>
      </c>
      <c r="G34" s="80">
        <f t="shared" si="14"/>
        <v>0</v>
      </c>
      <c r="H34" s="80">
        <f t="shared" si="14"/>
        <v>0</v>
      </c>
      <c r="I34" s="80">
        <f t="shared" si="14"/>
        <v>0</v>
      </c>
      <c r="J34" s="80">
        <f t="shared" si="14"/>
        <v>0</v>
      </c>
      <c r="K34" s="80">
        <f t="shared" si="14"/>
        <v>0</v>
      </c>
      <c r="P34" s="73"/>
    </row>
    <row r="35" spans="1:16" ht="15.75" customHeight="1">
      <c r="A35" s="196"/>
      <c r="B35" s="196"/>
      <c r="C35" s="196">
        <f t="shared" si="5"/>
        <v>0</v>
      </c>
      <c r="D35" s="196">
        <f t="shared" si="12"/>
        <v>0</v>
      </c>
      <c r="E35" s="80">
        <f t="shared" ref="E35:K35" si="15">$C$35*$D$35*E23</f>
        <v>0</v>
      </c>
      <c r="F35" s="80">
        <f t="shared" si="15"/>
        <v>0</v>
      </c>
      <c r="G35" s="80">
        <f t="shared" si="15"/>
        <v>0</v>
      </c>
      <c r="H35" s="80">
        <f t="shared" si="15"/>
        <v>0</v>
      </c>
      <c r="I35" s="80">
        <f t="shared" si="15"/>
        <v>0</v>
      </c>
      <c r="J35" s="80">
        <f t="shared" si="15"/>
        <v>0</v>
      </c>
      <c r="K35" s="80">
        <f t="shared" si="15"/>
        <v>0</v>
      </c>
      <c r="P35" s="73"/>
    </row>
    <row r="36" spans="1:16" ht="15.75" customHeight="1">
      <c r="A36" s="196"/>
      <c r="B36" s="196"/>
      <c r="C36" s="196">
        <f t="shared" si="5"/>
        <v>0</v>
      </c>
      <c r="D36" s="196">
        <f t="shared" si="12"/>
        <v>0</v>
      </c>
      <c r="E36" s="80">
        <f t="shared" ref="E36:K36" si="16">$C$36*$D$36*E23</f>
        <v>0</v>
      </c>
      <c r="F36" s="80">
        <f t="shared" si="16"/>
        <v>0</v>
      </c>
      <c r="G36" s="80">
        <f t="shared" si="16"/>
        <v>0</v>
      </c>
      <c r="H36" s="80">
        <f t="shared" si="16"/>
        <v>0</v>
      </c>
      <c r="I36" s="80">
        <f t="shared" si="16"/>
        <v>0</v>
      </c>
      <c r="J36" s="80">
        <f t="shared" si="16"/>
        <v>0</v>
      </c>
      <c r="K36" s="80">
        <f t="shared" si="16"/>
        <v>0</v>
      </c>
      <c r="P36" s="73"/>
    </row>
    <row r="37" spans="1:16" ht="15.75" customHeight="1">
      <c r="A37" s="196"/>
      <c r="B37" s="196"/>
      <c r="C37" s="196">
        <f t="shared" si="5"/>
        <v>0</v>
      </c>
      <c r="D37" s="196">
        <f t="shared" si="12"/>
        <v>0</v>
      </c>
      <c r="E37" s="80">
        <f t="shared" ref="E37:K37" si="17">$C$37*$D$37*E23</f>
        <v>0</v>
      </c>
      <c r="F37" s="80">
        <f t="shared" si="17"/>
        <v>0</v>
      </c>
      <c r="G37" s="80">
        <f t="shared" si="17"/>
        <v>0</v>
      </c>
      <c r="H37" s="80">
        <f t="shared" si="17"/>
        <v>0</v>
      </c>
      <c r="I37" s="80">
        <f t="shared" si="17"/>
        <v>0</v>
      </c>
      <c r="J37" s="80">
        <f t="shared" si="17"/>
        <v>0</v>
      </c>
      <c r="K37" s="80">
        <f t="shared" si="17"/>
        <v>0</v>
      </c>
      <c r="P37" s="73"/>
    </row>
    <row r="38" spans="1:16" ht="15.75" customHeight="1">
      <c r="A38" s="81"/>
      <c r="B38" s="81"/>
      <c r="C38" s="196">
        <f t="shared" si="5"/>
        <v>0</v>
      </c>
      <c r="D38" s="196">
        <f t="shared" si="12"/>
        <v>0</v>
      </c>
      <c r="E38" s="80">
        <f t="shared" ref="E38:K38" si="18">$C$38*$D$38*E23</f>
        <v>0</v>
      </c>
      <c r="F38" s="80">
        <f t="shared" si="18"/>
        <v>0</v>
      </c>
      <c r="G38" s="80">
        <f t="shared" si="18"/>
        <v>0</v>
      </c>
      <c r="H38" s="80">
        <f t="shared" si="18"/>
        <v>0</v>
      </c>
      <c r="I38" s="80">
        <f t="shared" si="18"/>
        <v>0</v>
      </c>
      <c r="J38" s="80">
        <f t="shared" si="18"/>
        <v>0</v>
      </c>
      <c r="K38" s="80">
        <f t="shared" si="18"/>
        <v>0</v>
      </c>
      <c r="P38" s="73"/>
    </row>
    <row r="39" spans="1:16" ht="15.75" customHeight="1">
      <c r="A39" s="81" t="s">
        <v>345</v>
      </c>
      <c r="B39" s="81"/>
      <c r="C39" s="81"/>
      <c r="D39" s="81"/>
      <c r="E39" s="80">
        <f>SUM(E28:E38)</f>
        <v>2110500</v>
      </c>
      <c r="F39" s="80">
        <f t="shared" ref="F39:K39" si="19">SUM(F28:F38)</f>
        <v>2152710</v>
      </c>
      <c r="G39" s="80">
        <f t="shared" si="19"/>
        <v>2173815</v>
      </c>
      <c r="H39" s="80">
        <f t="shared" si="19"/>
        <v>2325982.0500000003</v>
      </c>
      <c r="I39" s="80">
        <f t="shared" si="19"/>
        <v>2512060.6140000001</v>
      </c>
      <c r="J39" s="80">
        <f t="shared" si="19"/>
        <v>2738146.0692600003</v>
      </c>
      <c r="K39" s="80">
        <f t="shared" si="19"/>
        <v>3066723.5975711998</v>
      </c>
      <c r="P39" s="73"/>
    </row>
    <row r="40" spans="1:16" ht="15.75" customHeight="1">
      <c r="A40" s="78"/>
      <c r="B40" s="78"/>
      <c r="C40" s="78"/>
      <c r="D40" s="78"/>
      <c r="E40" s="80"/>
      <c r="F40" s="80"/>
      <c r="G40" s="80"/>
      <c r="H40" s="80"/>
      <c r="I40" s="80"/>
      <c r="J40" s="80"/>
      <c r="K40" s="80"/>
      <c r="P40" s="73"/>
    </row>
    <row r="41" spans="1:16" ht="15.75" customHeight="1">
      <c r="A41" s="81" t="s">
        <v>573</v>
      </c>
      <c r="B41" s="81"/>
      <c r="C41" s="81"/>
      <c r="D41" s="81"/>
      <c r="E41" s="80"/>
      <c r="F41" s="80"/>
      <c r="G41" s="80"/>
      <c r="H41" s="80"/>
      <c r="I41" s="80"/>
      <c r="J41" s="80"/>
      <c r="K41" s="80"/>
      <c r="P41" s="73"/>
    </row>
    <row r="42" spans="1:16" ht="15.75" customHeight="1">
      <c r="A42" s="81" t="s">
        <v>642</v>
      </c>
      <c r="B42" s="81"/>
      <c r="C42" s="81"/>
      <c r="D42" s="81"/>
      <c r="E42" s="80"/>
      <c r="F42" s="80"/>
      <c r="G42" s="80"/>
      <c r="H42" s="80"/>
      <c r="I42" s="80"/>
      <c r="J42" s="80"/>
      <c r="K42" s="80"/>
    </row>
    <row r="43" spans="1:16" ht="15.75" customHeight="1">
      <c r="A43" s="78" t="s">
        <v>643</v>
      </c>
      <c r="B43" s="78" t="s">
        <v>644</v>
      </c>
      <c r="C43" s="78">
        <f>SUM(J8:J17)</f>
        <v>13680</v>
      </c>
      <c r="D43" s="50">
        <v>100</v>
      </c>
      <c r="E43" s="80">
        <f>$C$43*$D$43*E23</f>
        <v>1368000</v>
      </c>
      <c r="F43" s="80">
        <f t="shared" ref="F43:K43" si="20">$C$43*$D$43*F23</f>
        <v>1395360</v>
      </c>
      <c r="G43" s="80">
        <f t="shared" si="20"/>
        <v>1409040</v>
      </c>
      <c r="H43" s="80">
        <f t="shared" si="20"/>
        <v>1507672.8</v>
      </c>
      <c r="I43" s="80">
        <f t="shared" si="20"/>
        <v>1628286.6240000001</v>
      </c>
      <c r="J43" s="80">
        <f t="shared" si="20"/>
        <v>1774832.42016</v>
      </c>
      <c r="K43" s="80">
        <f t="shared" si="20"/>
        <v>1987812.3105792</v>
      </c>
    </row>
    <row r="44" spans="1:16" ht="15.75" customHeight="1">
      <c r="A44" s="78" t="s">
        <v>645</v>
      </c>
      <c r="B44" s="78" t="s">
        <v>646</v>
      </c>
      <c r="C44" s="78">
        <f>SUM(M8:M17)</f>
        <v>490</v>
      </c>
      <c r="D44" s="50">
        <v>450</v>
      </c>
      <c r="E44" s="80">
        <f t="shared" ref="E44:K44" si="21">$C$44*$D$44*E23</f>
        <v>220500</v>
      </c>
      <c r="F44" s="80">
        <f t="shared" si="21"/>
        <v>224910</v>
      </c>
      <c r="G44" s="80">
        <f t="shared" si="21"/>
        <v>227115</v>
      </c>
      <c r="H44" s="80">
        <f t="shared" si="21"/>
        <v>243013.05000000002</v>
      </c>
      <c r="I44" s="80">
        <f t="shared" si="21"/>
        <v>262454.09400000004</v>
      </c>
      <c r="J44" s="80">
        <f t="shared" si="21"/>
        <v>286074.96246000001</v>
      </c>
      <c r="K44" s="80">
        <f t="shared" si="21"/>
        <v>320403.95795519999</v>
      </c>
    </row>
    <row r="45" spans="1:16" ht="15.75" customHeight="1">
      <c r="A45" s="78"/>
      <c r="B45" s="78"/>
      <c r="C45" s="50"/>
      <c r="D45" s="50"/>
      <c r="E45" s="80"/>
      <c r="F45" s="80"/>
      <c r="G45" s="80"/>
      <c r="H45" s="80"/>
      <c r="I45" s="80"/>
      <c r="J45" s="80"/>
      <c r="K45" s="80"/>
    </row>
    <row r="46" spans="1:16" ht="15.75" customHeight="1">
      <c r="A46" s="78"/>
      <c r="B46" s="78"/>
      <c r="C46" s="50"/>
      <c r="D46" s="50"/>
      <c r="E46" s="80"/>
      <c r="F46" s="80"/>
      <c r="G46" s="80"/>
      <c r="H46" s="80"/>
      <c r="I46" s="80"/>
      <c r="J46" s="80"/>
      <c r="K46" s="80"/>
    </row>
    <row r="47" spans="1:16" ht="15.75" customHeight="1">
      <c r="A47" s="78"/>
      <c r="B47" s="78"/>
      <c r="C47" s="50"/>
      <c r="D47" s="50"/>
      <c r="E47" s="80"/>
      <c r="F47" s="80"/>
      <c r="G47" s="80"/>
      <c r="H47" s="80"/>
      <c r="I47" s="80"/>
      <c r="J47" s="80"/>
      <c r="K47" s="80"/>
    </row>
    <row r="48" spans="1:16" ht="15.75" customHeight="1">
      <c r="A48" s="78"/>
      <c r="B48" s="78"/>
      <c r="C48" s="50"/>
      <c r="D48" s="50"/>
      <c r="E48" s="80"/>
      <c r="F48" s="80"/>
      <c r="G48" s="80"/>
      <c r="H48" s="80"/>
      <c r="I48" s="80"/>
      <c r="J48" s="80"/>
      <c r="K48" s="80"/>
    </row>
    <row r="49" spans="1:12" ht="15.75" customHeight="1">
      <c r="A49" s="81" t="s">
        <v>347</v>
      </c>
      <c r="B49" s="81"/>
      <c r="C49" s="55"/>
      <c r="D49" s="55"/>
      <c r="E49" s="82">
        <f>SUM(E43:E48)</f>
        <v>1588500</v>
      </c>
      <c r="F49" s="82">
        <f t="shared" ref="F49:K49" si="22">SUM(F43:F48)</f>
        <v>1620270</v>
      </c>
      <c r="G49" s="82">
        <f t="shared" si="22"/>
        <v>1636155</v>
      </c>
      <c r="H49" s="82">
        <f t="shared" si="22"/>
        <v>1750685.85</v>
      </c>
      <c r="I49" s="82">
        <f t="shared" si="22"/>
        <v>1890740.7180000001</v>
      </c>
      <c r="J49" s="82">
        <f t="shared" si="22"/>
        <v>2060907.38262</v>
      </c>
      <c r="K49" s="82">
        <f t="shared" si="22"/>
        <v>2308216.2685344</v>
      </c>
    </row>
    <row r="50" spans="1:12" ht="15.75" customHeight="1">
      <c r="A50" s="81"/>
      <c r="B50" s="81"/>
      <c r="C50" s="55"/>
      <c r="D50" s="55"/>
      <c r="E50" s="82"/>
      <c r="F50" s="82"/>
      <c r="G50" s="82"/>
      <c r="H50" s="82"/>
      <c r="I50" s="82"/>
      <c r="J50" s="82"/>
      <c r="K50" s="82"/>
    </row>
    <row r="51" spans="1:12" ht="15.75" customHeight="1">
      <c r="A51" s="192" t="s">
        <v>348</v>
      </c>
      <c r="B51" s="192"/>
      <c r="C51" s="278"/>
      <c r="D51" s="278"/>
      <c r="E51" s="80"/>
      <c r="F51" s="80"/>
      <c r="G51" s="80"/>
      <c r="H51" s="80"/>
      <c r="I51" s="80"/>
      <c r="J51" s="80"/>
      <c r="K51" s="80"/>
    </row>
    <row r="52" spans="1:12" ht="15.75" customHeight="1">
      <c r="A52" s="196" t="s">
        <v>647</v>
      </c>
      <c r="B52" s="78" t="s">
        <v>153</v>
      </c>
      <c r="C52" s="278">
        <v>3</v>
      </c>
      <c r="D52" s="283">
        <v>14000</v>
      </c>
      <c r="E52" s="80">
        <f>$C$52*$D$52*12*E23</f>
        <v>504000</v>
      </c>
      <c r="F52" s="80">
        <f t="shared" ref="F52:K52" si="23">$C$52*$D$52*12*F23</f>
        <v>514080</v>
      </c>
      <c r="G52" s="80">
        <f t="shared" si="23"/>
        <v>519120</v>
      </c>
      <c r="H52" s="80">
        <f t="shared" si="23"/>
        <v>555458.4</v>
      </c>
      <c r="I52" s="80">
        <f t="shared" si="23"/>
        <v>599895.07200000004</v>
      </c>
      <c r="J52" s="80">
        <f t="shared" si="23"/>
        <v>653885.62848000007</v>
      </c>
      <c r="K52" s="80">
        <f t="shared" si="23"/>
        <v>732351.90389760002</v>
      </c>
    </row>
    <row r="53" spans="1:12" ht="15.75" customHeight="1">
      <c r="A53" s="196"/>
      <c r="B53" s="196"/>
      <c r="C53" s="278"/>
      <c r="D53" s="283"/>
      <c r="E53" s="80"/>
      <c r="F53" s="80"/>
      <c r="G53" s="80"/>
      <c r="H53" s="80"/>
      <c r="I53" s="80"/>
      <c r="J53" s="80"/>
      <c r="K53" s="80"/>
    </row>
    <row r="54" spans="1:12" ht="15.75" customHeight="1">
      <c r="A54" s="196"/>
      <c r="B54" s="196"/>
      <c r="C54" s="278"/>
      <c r="D54" s="283"/>
      <c r="E54" s="80"/>
      <c r="F54" s="80"/>
      <c r="G54" s="80"/>
      <c r="H54" s="80"/>
      <c r="I54" s="80"/>
      <c r="J54" s="80"/>
      <c r="K54" s="80"/>
    </row>
    <row r="55" spans="1:12" ht="15.75" customHeight="1">
      <c r="A55" s="196"/>
      <c r="B55" s="196"/>
      <c r="C55" s="278"/>
      <c r="D55" s="283"/>
      <c r="E55" s="80"/>
      <c r="F55" s="80"/>
      <c r="G55" s="80"/>
      <c r="H55" s="80"/>
      <c r="I55" s="80"/>
      <c r="J55" s="80"/>
      <c r="K55" s="80"/>
    </row>
    <row r="56" spans="1:12" ht="15.75" customHeight="1">
      <c r="A56" s="81" t="s">
        <v>350</v>
      </c>
      <c r="B56" s="81"/>
      <c r="C56" s="81"/>
      <c r="D56" s="81"/>
      <c r="E56" s="82">
        <f>SUM(E52:E55)</f>
        <v>504000</v>
      </c>
      <c r="F56" s="82">
        <f t="shared" ref="F56:K56" si="24">SUM(F52:F55)</f>
        <v>514080</v>
      </c>
      <c r="G56" s="82">
        <f t="shared" si="24"/>
        <v>519120</v>
      </c>
      <c r="H56" s="82">
        <f t="shared" si="24"/>
        <v>555458.4</v>
      </c>
      <c r="I56" s="82">
        <f t="shared" si="24"/>
        <v>599895.07200000004</v>
      </c>
      <c r="J56" s="82">
        <f t="shared" si="24"/>
        <v>653885.62848000007</v>
      </c>
      <c r="K56" s="82">
        <f t="shared" si="24"/>
        <v>732351.90389760002</v>
      </c>
    </row>
    <row r="57" spans="1:12" ht="15.75" customHeight="1">
      <c r="A57" s="81" t="s">
        <v>581</v>
      </c>
      <c r="B57" s="81"/>
      <c r="C57" s="81"/>
      <c r="D57" s="81"/>
      <c r="E57" s="82">
        <f>E49+E56</f>
        <v>2092500</v>
      </c>
      <c r="F57" s="82">
        <f t="shared" ref="F57:K57" si="25">F49+F56</f>
        <v>2134350</v>
      </c>
      <c r="G57" s="82">
        <f t="shared" si="25"/>
        <v>2155275</v>
      </c>
      <c r="H57" s="82">
        <f t="shared" si="25"/>
        <v>2306144.25</v>
      </c>
      <c r="I57" s="82">
        <f t="shared" si="25"/>
        <v>2490635.79</v>
      </c>
      <c r="J57" s="82">
        <f t="shared" si="25"/>
        <v>2714793.0111000002</v>
      </c>
      <c r="K57" s="82">
        <f t="shared" si="25"/>
        <v>3040568.1724319998</v>
      </c>
    </row>
    <row r="58" spans="1:12" ht="15.75" customHeight="1">
      <c r="A58" s="78"/>
      <c r="B58" s="78"/>
      <c r="C58" s="78"/>
      <c r="D58" s="78"/>
      <c r="E58" s="80"/>
      <c r="F58" s="80"/>
      <c r="G58" s="80"/>
      <c r="H58" s="80"/>
      <c r="I58" s="80"/>
      <c r="J58" s="80"/>
      <c r="K58" s="80"/>
    </row>
    <row r="59" spans="1:12" ht="15.75" customHeight="1">
      <c r="A59" s="81" t="s">
        <v>648</v>
      </c>
      <c r="B59" s="81"/>
      <c r="C59" s="81"/>
      <c r="D59" s="81"/>
      <c r="E59" s="82">
        <f>E39-E57</f>
        <v>18000</v>
      </c>
      <c r="F59" s="82">
        <f>F39-F57</f>
        <v>18360</v>
      </c>
      <c r="G59" s="82">
        <f t="shared" ref="G59:K59" si="26">G39-G57</f>
        <v>18540</v>
      </c>
      <c r="H59" s="82">
        <f t="shared" si="26"/>
        <v>19837.800000000279</v>
      </c>
      <c r="I59" s="82">
        <f t="shared" si="26"/>
        <v>21424.824000000022</v>
      </c>
      <c r="J59" s="82">
        <f t="shared" si="26"/>
        <v>23353.058160000015</v>
      </c>
      <c r="K59" s="82">
        <f t="shared" si="26"/>
        <v>26155.425139199942</v>
      </c>
    </row>
    <row r="60" spans="1:12" ht="15.75" customHeight="1">
      <c r="A60" s="97"/>
      <c r="B60" s="97"/>
      <c r="C60" s="97"/>
      <c r="D60" s="97"/>
      <c r="E60" s="284"/>
      <c r="F60" s="284"/>
      <c r="G60" s="284"/>
      <c r="H60" s="284"/>
      <c r="I60" s="284"/>
      <c r="J60" s="284"/>
      <c r="K60" s="284"/>
    </row>
    <row r="61" spans="1:12" ht="15.75" customHeight="1">
      <c r="A61" s="73"/>
      <c r="B61" s="73"/>
      <c r="C61" s="97"/>
      <c r="D61" s="97"/>
      <c r="E61" s="284"/>
      <c r="F61" s="284"/>
      <c r="G61" s="284"/>
      <c r="H61" s="284"/>
      <c r="I61" s="284"/>
      <c r="J61" s="284"/>
      <c r="K61" s="284"/>
    </row>
    <row r="62" spans="1:12" ht="15.75" customHeight="1">
      <c r="A62" s="342" t="s">
        <v>649</v>
      </c>
      <c r="B62" s="324"/>
      <c r="C62" s="324"/>
      <c r="D62" s="324"/>
      <c r="E62" s="324"/>
      <c r="F62" s="324"/>
      <c r="G62" s="324"/>
      <c r="H62" s="324"/>
      <c r="I62" s="324"/>
      <c r="J62" s="324"/>
      <c r="K62" s="324"/>
      <c r="L62" s="324"/>
    </row>
    <row r="63" spans="1:12" ht="15.75" customHeight="1"/>
    <row r="64" spans="1:12" ht="15.75" customHeight="1"/>
    <row r="65" spans="1:2" ht="15.75" customHeight="1">
      <c r="A65" t="s">
        <v>306</v>
      </c>
    </row>
    <row r="66" spans="1:2" ht="15.75" customHeight="1">
      <c r="A66">
        <v>1</v>
      </c>
      <c r="B66" t="s">
        <v>585</v>
      </c>
    </row>
    <row r="67" spans="1:2" ht="15.75" customHeight="1">
      <c r="A67">
        <v>2</v>
      </c>
      <c r="B67" t="s">
        <v>586</v>
      </c>
    </row>
    <row r="68" spans="1:2" ht="15.75" customHeight="1">
      <c r="A68">
        <v>3</v>
      </c>
      <c r="B68" s="73" t="s">
        <v>587</v>
      </c>
    </row>
    <row r="69" spans="1:2" ht="15.75" customHeight="1"/>
    <row r="70" spans="1:2" ht="15.75" customHeight="1"/>
    <row r="71" spans="1:2" ht="15.75" customHeight="1"/>
    <row r="72" spans="1:2" ht="15.75" customHeight="1"/>
    <row r="73" spans="1:2" ht="15.75" customHeight="1"/>
    <row r="74" spans="1:2" ht="15.75" customHeight="1"/>
    <row r="75" spans="1:2" ht="15.75" customHeight="1"/>
    <row r="76" spans="1:2" ht="15.75" customHeight="1"/>
    <row r="77" spans="1:2" ht="15.75" customHeight="1"/>
    <row r="78" spans="1:2" ht="15.75" customHeight="1"/>
    <row r="79" spans="1:2" ht="15.75" customHeight="1"/>
    <row r="80" spans="1:2"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sheetData>
  <mergeCells count="4">
    <mergeCell ref="A21:K21"/>
    <mergeCell ref="A3:L3"/>
    <mergeCell ref="A62:L62"/>
    <mergeCell ref="A4:L4"/>
  </mergeCells>
  <pageMargins left="0.7" right="0.05" top="0.5" bottom="0.05" header="0" footer="0"/>
  <pageSetup paperSize="9" scale="49" orientation="landscape" r:id="rId1"/>
</worksheet>
</file>

<file path=xl/worksheets/sheet17.xml><?xml version="1.0" encoding="utf-8"?>
<worksheet xmlns="http://schemas.openxmlformats.org/spreadsheetml/2006/main" xmlns:r="http://schemas.openxmlformats.org/officeDocument/2006/relationships">
  <dimension ref="A2:W284"/>
  <sheetViews>
    <sheetView view="pageBreakPreview" topLeftCell="A270" zoomScale="99" zoomScaleSheetLayoutView="99" workbookViewId="0">
      <selection activeCell="C284" sqref="C284"/>
    </sheetView>
  </sheetViews>
  <sheetFormatPr defaultColWidth="14.42578125" defaultRowHeight="15" customHeight="1"/>
  <cols>
    <col min="1" max="1" width="34.5703125" customWidth="1"/>
    <col min="2" max="2" width="4.42578125" customWidth="1"/>
    <col min="3" max="3" width="10.5703125" customWidth="1"/>
    <col min="4" max="9" width="12.7109375" bestFit="1" customWidth="1"/>
    <col min="10" max="10" width="13.140625" bestFit="1" customWidth="1"/>
    <col min="11" max="11" width="8.7109375" customWidth="1"/>
    <col min="12" max="12" width="27.140625" customWidth="1"/>
    <col min="13" max="17" width="8.7109375" customWidth="1"/>
    <col min="18" max="20" width="9.42578125" customWidth="1"/>
    <col min="21" max="21" width="8.7109375" customWidth="1"/>
    <col min="22" max="22" width="9.42578125" customWidth="1"/>
    <col min="23" max="23" width="8.7109375" customWidth="1"/>
  </cols>
  <sheetData>
    <row r="2" spans="1:9" ht="18.75">
      <c r="A2" s="340" t="s">
        <v>650</v>
      </c>
      <c r="B2" s="324"/>
      <c r="C2" s="324"/>
      <c r="D2" s="324"/>
      <c r="E2" s="324"/>
      <c r="F2" s="324"/>
      <c r="G2" s="324"/>
      <c r="H2" s="324"/>
      <c r="I2" s="324"/>
    </row>
    <row r="4" spans="1:9">
      <c r="A4" s="73"/>
      <c r="B4" s="73"/>
      <c r="C4" s="73"/>
      <c r="D4" s="73"/>
      <c r="E4" s="73"/>
      <c r="F4" s="73"/>
      <c r="G4" s="73"/>
      <c r="H4" s="73"/>
      <c r="I4" s="73"/>
    </row>
    <row r="5" spans="1:9">
      <c r="A5" s="73"/>
      <c r="B5" s="73"/>
      <c r="C5" s="73"/>
      <c r="D5" s="73"/>
      <c r="E5" s="73"/>
      <c r="F5" s="73"/>
      <c r="G5" s="73"/>
      <c r="H5" s="73"/>
      <c r="I5" s="73"/>
    </row>
    <row r="6" spans="1:9">
      <c r="A6" s="76" t="s">
        <v>77</v>
      </c>
      <c r="B6" s="76"/>
      <c r="C6" s="77" t="s">
        <v>145</v>
      </c>
      <c r="D6" s="77" t="s">
        <v>146</v>
      </c>
      <c r="E6" s="77" t="s">
        <v>147</v>
      </c>
      <c r="F6" s="77" t="s">
        <v>148</v>
      </c>
      <c r="G6" s="77" t="s">
        <v>149</v>
      </c>
      <c r="H6" s="77" t="s">
        <v>150</v>
      </c>
      <c r="I6" s="77" t="s">
        <v>151</v>
      </c>
    </row>
    <row r="7" spans="1:9">
      <c r="A7" s="81" t="s">
        <v>651</v>
      </c>
      <c r="B7" s="78"/>
      <c r="C7" s="78"/>
      <c r="D7" s="78"/>
      <c r="E7" s="78"/>
      <c r="F7" s="78"/>
      <c r="G7" s="78"/>
      <c r="H7" s="78"/>
      <c r="I7" s="78"/>
    </row>
    <row r="8" spans="1:9">
      <c r="A8" s="81" t="s">
        <v>652</v>
      </c>
      <c r="B8" s="269"/>
      <c r="C8" s="285"/>
      <c r="D8" s="285"/>
      <c r="E8" s="285"/>
      <c r="F8" s="285"/>
      <c r="G8" s="285"/>
      <c r="H8" s="285"/>
      <c r="I8" s="285"/>
    </row>
    <row r="9" spans="1:9">
      <c r="A9" s="78" t="str">
        <f>'10.Grain Production details'!A92</f>
        <v>Soybean</v>
      </c>
      <c r="B9" s="269"/>
      <c r="C9" s="285">
        <f>'10.Grain Production details'!B92</f>
        <v>0</v>
      </c>
      <c r="D9" s="285">
        <f>'10.Grain Production details'!C92</f>
        <v>0</v>
      </c>
      <c r="E9" s="285">
        <f>'10.Grain Production details'!D92</f>
        <v>0</v>
      </c>
      <c r="F9" s="285">
        <f>'10.Grain Production details'!E92</f>
        <v>0</v>
      </c>
      <c r="G9" s="285">
        <f>'10.Grain Production details'!F92</f>
        <v>0</v>
      </c>
      <c r="H9" s="285">
        <f>'10.Grain Production details'!G92</f>
        <v>0</v>
      </c>
      <c r="I9" s="285">
        <f>'10.Grain Production details'!H92</f>
        <v>0</v>
      </c>
    </row>
    <row r="10" spans="1:9">
      <c r="A10" s="78" t="str">
        <f>'10.Grain Production details'!A93</f>
        <v>Red Gram/Tur</v>
      </c>
      <c r="B10" s="269"/>
      <c r="C10" s="285">
        <f>'10.Grain Production details'!B93</f>
        <v>0</v>
      </c>
      <c r="D10" s="285">
        <f>'10.Grain Production details'!C93</f>
        <v>0</v>
      </c>
      <c r="E10" s="285">
        <f>'10.Grain Production details'!D93</f>
        <v>0</v>
      </c>
      <c r="F10" s="285">
        <f>'10.Grain Production details'!E93</f>
        <v>0</v>
      </c>
      <c r="G10" s="285">
        <f>'10.Grain Production details'!F93</f>
        <v>0</v>
      </c>
      <c r="H10" s="285">
        <f>'10.Grain Production details'!G93</f>
        <v>0</v>
      </c>
      <c r="I10" s="285">
        <f>'10.Grain Production details'!H93</f>
        <v>0</v>
      </c>
    </row>
    <row r="11" spans="1:9">
      <c r="A11" s="78" t="str">
        <f>'10.Grain Production details'!A94</f>
        <v>Paddy/Rice</v>
      </c>
      <c r="B11" s="269"/>
      <c r="C11" s="285">
        <f>'10.Grain Production details'!B94</f>
        <v>0</v>
      </c>
      <c r="D11" s="285">
        <f>'10.Grain Production details'!C94</f>
        <v>0</v>
      </c>
      <c r="E11" s="285">
        <f>'10.Grain Production details'!D94</f>
        <v>0</v>
      </c>
      <c r="F11" s="285">
        <f>'10.Grain Production details'!E94</f>
        <v>0</v>
      </c>
      <c r="G11" s="285">
        <f>'10.Grain Production details'!F94</f>
        <v>0</v>
      </c>
      <c r="H11" s="285">
        <f>'10.Grain Production details'!G94</f>
        <v>0</v>
      </c>
      <c r="I11" s="285">
        <f>'10.Grain Production details'!H94</f>
        <v>0</v>
      </c>
    </row>
    <row r="12" spans="1:9">
      <c r="A12" s="78" t="str">
        <f>'10.Grain Production details'!A95</f>
        <v>Green Gram/ Moong</v>
      </c>
      <c r="B12" s="269"/>
      <c r="C12" s="285">
        <f>'10.Grain Production details'!B95</f>
        <v>0</v>
      </c>
      <c r="D12" s="285">
        <f>'10.Grain Production details'!C95</f>
        <v>0</v>
      </c>
      <c r="E12" s="285">
        <f>'10.Grain Production details'!D95</f>
        <v>0</v>
      </c>
      <c r="F12" s="285">
        <f>'10.Grain Production details'!E95</f>
        <v>0</v>
      </c>
      <c r="G12" s="285">
        <f>'10.Grain Production details'!F95</f>
        <v>0</v>
      </c>
      <c r="H12" s="285">
        <f>'10.Grain Production details'!G95</f>
        <v>0</v>
      </c>
      <c r="I12" s="285">
        <f>'10.Grain Production details'!H95</f>
        <v>0</v>
      </c>
    </row>
    <row r="13" spans="1:9">
      <c r="A13" s="78" t="str">
        <f>'10.Grain Production details'!A96</f>
        <v>Maize</v>
      </c>
      <c r="B13" s="269"/>
      <c r="C13" s="285">
        <f>'10.Grain Production details'!B96</f>
        <v>0</v>
      </c>
      <c r="D13" s="285">
        <f>'10.Grain Production details'!C96</f>
        <v>0</v>
      </c>
      <c r="E13" s="285">
        <f>'10.Grain Production details'!D96</f>
        <v>0</v>
      </c>
      <c r="F13" s="285">
        <f>'10.Grain Production details'!E96</f>
        <v>0</v>
      </c>
      <c r="G13" s="285">
        <f>'10.Grain Production details'!F96</f>
        <v>0</v>
      </c>
      <c r="H13" s="285">
        <f>'10.Grain Production details'!G96</f>
        <v>0</v>
      </c>
      <c r="I13" s="285">
        <f>'10.Grain Production details'!H96</f>
        <v>0</v>
      </c>
    </row>
    <row r="14" spans="1:9">
      <c r="A14" s="78" t="str">
        <f>'10.Grain Production details'!A97</f>
        <v>Black Gram/Udid</v>
      </c>
      <c r="B14" s="269"/>
      <c r="C14" s="285">
        <f>'10.Grain Production details'!B97</f>
        <v>0</v>
      </c>
      <c r="D14" s="285">
        <f>'10.Grain Production details'!C97</f>
        <v>0</v>
      </c>
      <c r="E14" s="285">
        <f>'10.Grain Production details'!D97</f>
        <v>0</v>
      </c>
      <c r="F14" s="285">
        <f>'10.Grain Production details'!E97</f>
        <v>0</v>
      </c>
      <c r="G14" s="285">
        <f>'10.Grain Production details'!F97</f>
        <v>0</v>
      </c>
      <c r="H14" s="285">
        <f>'10.Grain Production details'!G97</f>
        <v>0</v>
      </c>
      <c r="I14" s="285">
        <f>'10.Grain Production details'!H97</f>
        <v>0</v>
      </c>
    </row>
    <row r="15" spans="1:9">
      <c r="A15" s="78" t="str">
        <f>'10.Grain Production details'!A98</f>
        <v>Bajra</v>
      </c>
      <c r="B15" s="269"/>
      <c r="C15" s="285">
        <f>'10.Grain Production details'!B98</f>
        <v>0</v>
      </c>
      <c r="D15" s="285">
        <f>'10.Grain Production details'!C98</f>
        <v>0</v>
      </c>
      <c r="E15" s="285">
        <f>'10.Grain Production details'!D98</f>
        <v>0</v>
      </c>
      <c r="F15" s="285">
        <f>'10.Grain Production details'!E98</f>
        <v>0</v>
      </c>
      <c r="G15" s="285">
        <f>'10.Grain Production details'!F98</f>
        <v>0</v>
      </c>
      <c r="H15" s="285">
        <f>'10.Grain Production details'!G98</f>
        <v>0</v>
      </c>
      <c r="I15" s="285">
        <f>'10.Grain Production details'!H98</f>
        <v>0</v>
      </c>
    </row>
    <row r="16" spans="1:9">
      <c r="A16" s="78" t="str">
        <f>'10.Grain Production details'!A99</f>
        <v>Jawar</v>
      </c>
      <c r="B16" s="269"/>
      <c r="C16" s="285">
        <f>'10.Grain Production details'!B99</f>
        <v>0</v>
      </c>
      <c r="D16" s="285">
        <f>'10.Grain Production details'!C99</f>
        <v>0</v>
      </c>
      <c r="E16" s="285">
        <f>'10.Grain Production details'!D99</f>
        <v>0</v>
      </c>
      <c r="F16" s="285">
        <f>'10.Grain Production details'!E99</f>
        <v>0</v>
      </c>
      <c r="G16" s="285">
        <f>'10.Grain Production details'!F99</f>
        <v>0</v>
      </c>
      <c r="H16" s="285">
        <f>'10.Grain Production details'!G99</f>
        <v>0</v>
      </c>
      <c r="I16" s="285">
        <f>'10.Grain Production details'!H99</f>
        <v>0</v>
      </c>
    </row>
    <row r="17" spans="1:9">
      <c r="A17" s="81" t="s">
        <v>653</v>
      </c>
      <c r="B17" s="269"/>
      <c r="C17" s="285"/>
      <c r="D17" s="285"/>
      <c r="E17" s="285"/>
      <c r="F17" s="285"/>
      <c r="G17" s="285"/>
      <c r="H17" s="285"/>
      <c r="I17" s="285"/>
    </row>
    <row r="18" spans="1:9">
      <c r="A18" s="78" t="str">
        <f>'10.Grain Production details'!A101</f>
        <v>Wheat</v>
      </c>
      <c r="B18" s="269"/>
      <c r="C18" s="285">
        <f>'10.Grain Production details'!B101</f>
        <v>0</v>
      </c>
      <c r="D18" s="285">
        <f>'10.Grain Production details'!C101</f>
        <v>0</v>
      </c>
      <c r="E18" s="285">
        <f>'10.Grain Production details'!D101</f>
        <v>0</v>
      </c>
      <c r="F18" s="285">
        <f>'10.Grain Production details'!E101</f>
        <v>0</v>
      </c>
      <c r="G18" s="285">
        <f>'10.Grain Production details'!F101</f>
        <v>0</v>
      </c>
      <c r="H18" s="285">
        <f>'10.Grain Production details'!G101</f>
        <v>0</v>
      </c>
      <c r="I18" s="285">
        <f>'10.Grain Production details'!H101</f>
        <v>0</v>
      </c>
    </row>
    <row r="19" spans="1:9">
      <c r="A19" s="78" t="str">
        <f>'10.Grain Production details'!A102</f>
        <v>Bengal Gram/Channa</v>
      </c>
      <c r="B19" s="269"/>
      <c r="C19" s="285">
        <f>'10.Grain Production details'!B102</f>
        <v>0</v>
      </c>
      <c r="D19" s="285">
        <f>'10.Grain Production details'!C102</f>
        <v>0</v>
      </c>
      <c r="E19" s="285">
        <f>'10.Grain Production details'!D102</f>
        <v>0</v>
      </c>
      <c r="F19" s="285">
        <f>'10.Grain Production details'!E102</f>
        <v>0</v>
      </c>
      <c r="G19" s="285">
        <f>'10.Grain Production details'!F102</f>
        <v>0</v>
      </c>
      <c r="H19" s="285">
        <f>'10.Grain Production details'!G102</f>
        <v>0</v>
      </c>
      <c r="I19" s="285">
        <f>'10.Grain Production details'!H102</f>
        <v>0</v>
      </c>
    </row>
    <row r="20" spans="1:9">
      <c r="A20" s="78" t="str">
        <f>'10.Grain Production details'!A103</f>
        <v>Jawar</v>
      </c>
      <c r="B20" s="269"/>
      <c r="C20" s="285">
        <f>'10.Grain Production details'!B103</f>
        <v>0</v>
      </c>
      <c r="D20" s="285">
        <f>'10.Grain Production details'!C103</f>
        <v>0</v>
      </c>
      <c r="E20" s="285">
        <f>'10.Grain Production details'!D103</f>
        <v>0</v>
      </c>
      <c r="F20" s="285">
        <f>'10.Grain Production details'!E103</f>
        <v>0</v>
      </c>
      <c r="G20" s="285">
        <f>'10.Grain Production details'!F103</f>
        <v>0</v>
      </c>
      <c r="H20" s="285">
        <f>'10.Grain Production details'!G103</f>
        <v>0</v>
      </c>
      <c r="I20" s="285">
        <f>'10.Grain Production details'!H103</f>
        <v>0</v>
      </c>
    </row>
    <row r="21" spans="1:9" ht="15.75" customHeight="1">
      <c r="A21" s="78" t="str">
        <f>'10.Grain Production details'!A104</f>
        <v>Maize</v>
      </c>
      <c r="B21" s="269"/>
      <c r="C21" s="285">
        <f>'10.Grain Production details'!B104</f>
        <v>0</v>
      </c>
      <c r="D21" s="285">
        <f>'10.Grain Production details'!C104</f>
        <v>0</v>
      </c>
      <c r="E21" s="285">
        <f>'10.Grain Production details'!D104</f>
        <v>0</v>
      </c>
      <c r="F21" s="285">
        <f>'10.Grain Production details'!E104</f>
        <v>0</v>
      </c>
      <c r="G21" s="285">
        <f>'10.Grain Production details'!F104</f>
        <v>0</v>
      </c>
      <c r="H21" s="285">
        <f>'10.Grain Production details'!G104</f>
        <v>0</v>
      </c>
      <c r="I21" s="285">
        <f>'10.Grain Production details'!H104</f>
        <v>0</v>
      </c>
    </row>
    <row r="22" spans="1:9" ht="15.75" customHeight="1">
      <c r="A22" s="78" t="str">
        <f>'10.Grain Production details'!A105</f>
        <v>Safflower</v>
      </c>
      <c r="B22" s="269"/>
      <c r="C22" s="285">
        <f>'10.Grain Production details'!B105</f>
        <v>0</v>
      </c>
      <c r="D22" s="285">
        <f>'10.Grain Production details'!C105</f>
        <v>0</v>
      </c>
      <c r="E22" s="285">
        <f>'10.Grain Production details'!D105</f>
        <v>0</v>
      </c>
      <c r="F22" s="285">
        <f>'10.Grain Production details'!E105</f>
        <v>0</v>
      </c>
      <c r="G22" s="285">
        <f>'10.Grain Production details'!F105</f>
        <v>0</v>
      </c>
      <c r="H22" s="285">
        <f>'10.Grain Production details'!G105</f>
        <v>0</v>
      </c>
      <c r="I22" s="285">
        <f>'10.Grain Production details'!H105</f>
        <v>0</v>
      </c>
    </row>
    <row r="23" spans="1:9" ht="15.75" customHeight="1">
      <c r="A23" s="78">
        <f>'10.Grain Production details'!A106</f>
        <v>0</v>
      </c>
      <c r="B23" s="269"/>
      <c r="C23" s="285">
        <f>'10.Grain Production details'!B106</f>
        <v>0</v>
      </c>
      <c r="D23" s="285">
        <f>'10.Grain Production details'!C106</f>
        <v>0</v>
      </c>
      <c r="E23" s="285">
        <f>'10.Grain Production details'!D106</f>
        <v>0</v>
      </c>
      <c r="F23" s="285">
        <f>'10.Grain Production details'!E106</f>
        <v>0</v>
      </c>
      <c r="G23" s="285">
        <f>'10.Grain Production details'!F106</f>
        <v>0</v>
      </c>
      <c r="H23" s="285">
        <f>'10.Grain Production details'!G106</f>
        <v>0</v>
      </c>
      <c r="I23" s="285">
        <f>'10.Grain Production details'!H106</f>
        <v>0</v>
      </c>
    </row>
    <row r="24" spans="1:9" ht="15.75" customHeight="1">
      <c r="A24" s="78">
        <f>'10.Grain Production details'!A107</f>
        <v>0</v>
      </c>
      <c r="B24" s="269"/>
      <c r="C24" s="285">
        <f>'10.Grain Production details'!B107</f>
        <v>0</v>
      </c>
      <c r="D24" s="285">
        <f>'10.Grain Production details'!C107</f>
        <v>0</v>
      </c>
      <c r="E24" s="285">
        <f>'10.Grain Production details'!D107</f>
        <v>0</v>
      </c>
      <c r="F24" s="285">
        <f>'10.Grain Production details'!E107</f>
        <v>0</v>
      </c>
      <c r="G24" s="285">
        <f>'10.Grain Production details'!F107</f>
        <v>0</v>
      </c>
      <c r="H24" s="285">
        <f>'10.Grain Production details'!G107</f>
        <v>0</v>
      </c>
      <c r="I24" s="285">
        <f>'10.Grain Production details'!H107</f>
        <v>0</v>
      </c>
    </row>
    <row r="25" spans="1:9" ht="15.75" customHeight="1">
      <c r="A25" s="78">
        <f>'10.Grain Production details'!A108</f>
        <v>0</v>
      </c>
      <c r="B25" s="269"/>
      <c r="C25" s="285">
        <f>'10.Grain Production details'!B108</f>
        <v>0</v>
      </c>
      <c r="D25" s="285">
        <f>'10.Grain Production details'!C108</f>
        <v>0</v>
      </c>
      <c r="E25" s="285">
        <f>'10.Grain Production details'!D108</f>
        <v>0</v>
      </c>
      <c r="F25" s="285">
        <f>'10.Grain Production details'!E108</f>
        <v>0</v>
      </c>
      <c r="G25" s="285">
        <f>'10.Grain Production details'!F108</f>
        <v>0</v>
      </c>
      <c r="H25" s="285">
        <f>'10.Grain Production details'!G108</f>
        <v>0</v>
      </c>
      <c r="I25" s="285">
        <f>'10.Grain Production details'!H108</f>
        <v>0</v>
      </c>
    </row>
    <row r="26" spans="1:9" ht="15.75" customHeight="1">
      <c r="A26" s="81" t="str">
        <f>'10.Grain Production details'!A33</f>
        <v>Summer</v>
      </c>
      <c r="B26" s="269"/>
      <c r="C26" s="285"/>
      <c r="D26" s="285"/>
      <c r="E26" s="285"/>
      <c r="F26" s="285"/>
      <c r="G26" s="285"/>
      <c r="H26" s="285"/>
      <c r="I26" s="285"/>
    </row>
    <row r="27" spans="1:9" ht="15.75" customHeight="1">
      <c r="A27" s="78" t="str">
        <f>'10.Grain Production details'!A109</f>
        <v>Groundnut</v>
      </c>
      <c r="B27" s="269"/>
      <c r="C27" s="285">
        <f>'10.Grain Production details'!B110</f>
        <v>0</v>
      </c>
      <c r="D27" s="285">
        <f>'10.Grain Production details'!C110</f>
        <v>0</v>
      </c>
      <c r="E27" s="285">
        <f>'10.Grain Production details'!D110</f>
        <v>0</v>
      </c>
      <c r="F27" s="285">
        <f>'10.Grain Production details'!E110</f>
        <v>0</v>
      </c>
      <c r="G27" s="285">
        <f>'10.Grain Production details'!F110</f>
        <v>0</v>
      </c>
      <c r="H27" s="285">
        <f>'10.Grain Production details'!G110</f>
        <v>0</v>
      </c>
      <c r="I27" s="285">
        <f>'10.Grain Production details'!H110</f>
        <v>0</v>
      </c>
    </row>
    <row r="28" spans="1:9" ht="15.75" customHeight="1">
      <c r="A28" s="78">
        <f>'10.Grain Production details'!A110</f>
        <v>0</v>
      </c>
      <c r="B28" s="269"/>
      <c r="C28" s="285">
        <f>'10.Grain Production details'!B111</f>
        <v>0</v>
      </c>
      <c r="D28" s="285">
        <f>'10.Grain Production details'!C111</f>
        <v>0</v>
      </c>
      <c r="E28" s="285">
        <f>'10.Grain Production details'!D111</f>
        <v>0</v>
      </c>
      <c r="F28" s="285">
        <f>'10.Grain Production details'!E111</f>
        <v>0</v>
      </c>
      <c r="G28" s="285">
        <f>'10.Grain Production details'!F111</f>
        <v>0</v>
      </c>
      <c r="H28" s="285">
        <f>'10.Grain Production details'!G111</f>
        <v>0</v>
      </c>
      <c r="I28" s="285">
        <f>'10.Grain Production details'!H111</f>
        <v>0</v>
      </c>
    </row>
    <row r="29" spans="1:9" ht="15.75" customHeight="1">
      <c r="A29" s="78">
        <f>'10.Grain Production details'!A111</f>
        <v>0</v>
      </c>
      <c r="B29" s="269"/>
      <c r="C29" s="285">
        <f>'10.Grain Production details'!B112</f>
        <v>0</v>
      </c>
      <c r="D29" s="285">
        <f>'10.Grain Production details'!C112</f>
        <v>0</v>
      </c>
      <c r="E29" s="285">
        <f>'10.Grain Production details'!D112</f>
        <v>0</v>
      </c>
      <c r="F29" s="285">
        <f>'10.Grain Production details'!E112</f>
        <v>0</v>
      </c>
      <c r="G29" s="285">
        <f>'10.Grain Production details'!F112</f>
        <v>0</v>
      </c>
      <c r="H29" s="285">
        <f>'10.Grain Production details'!G112</f>
        <v>0</v>
      </c>
      <c r="I29" s="285">
        <f>'10.Grain Production details'!H112</f>
        <v>0</v>
      </c>
    </row>
    <row r="30" spans="1:9" ht="15.75" customHeight="1">
      <c r="A30" s="78">
        <f>'10.Grain Production details'!A112</f>
        <v>0</v>
      </c>
      <c r="B30" s="269"/>
      <c r="C30" s="285">
        <f>'10.Grain Production details'!B113</f>
        <v>0</v>
      </c>
      <c r="D30" s="285">
        <f>'10.Grain Production details'!C113</f>
        <v>0</v>
      </c>
      <c r="E30" s="285">
        <f>'10.Grain Production details'!D113</f>
        <v>0</v>
      </c>
      <c r="F30" s="285">
        <f>'10.Grain Production details'!E113</f>
        <v>0</v>
      </c>
      <c r="G30" s="285">
        <f>'10.Grain Production details'!F113</f>
        <v>0</v>
      </c>
      <c r="H30" s="285">
        <f>'10.Grain Production details'!G113</f>
        <v>0</v>
      </c>
      <c r="I30" s="285">
        <f>'10.Grain Production details'!H113</f>
        <v>0</v>
      </c>
    </row>
    <row r="31" spans="1:9" ht="15.75" customHeight="1">
      <c r="A31" s="78">
        <f>'10.Grain Production details'!A113</f>
        <v>0</v>
      </c>
      <c r="B31" s="269"/>
      <c r="C31" s="285">
        <f>'10.Grain Production details'!C114</f>
        <v>0</v>
      </c>
      <c r="D31" s="285">
        <f>'10.Grain Production details'!D114</f>
        <v>0</v>
      </c>
      <c r="E31" s="285">
        <f>'10.Grain Production details'!E114</f>
        <v>0</v>
      </c>
      <c r="F31" s="285">
        <f>'10.Grain Production details'!F114</f>
        <v>0</v>
      </c>
      <c r="G31" s="285">
        <f>'10.Grain Production details'!G114</f>
        <v>0</v>
      </c>
      <c r="H31" s="285">
        <f>'10.Grain Production details'!H114</f>
        <v>0</v>
      </c>
      <c r="I31" s="285">
        <f>'10.Grain Production details'!I114</f>
        <v>0</v>
      </c>
    </row>
    <row r="32" spans="1:9" ht="15.75" customHeight="1">
      <c r="A32" s="81" t="str">
        <f>'11.F&amp;V Crop Production details'!A1:H1</f>
        <v>Fruit  &amp; Vegetables Crop Production Details</v>
      </c>
      <c r="B32" s="269"/>
      <c r="C32" s="285"/>
      <c r="D32" s="285"/>
      <c r="E32" s="285"/>
      <c r="F32" s="285"/>
      <c r="G32" s="285"/>
      <c r="H32" s="285"/>
      <c r="I32" s="285"/>
    </row>
    <row r="33" spans="1:9" ht="15.75" customHeight="1">
      <c r="A33" s="78" t="str">
        <f>'11.F&amp;V Crop Production details'!A102</f>
        <v>Onion</v>
      </c>
      <c r="B33" s="269"/>
      <c r="C33" s="285">
        <f>'11.F&amp;V Crop Production details'!B102</f>
        <v>0</v>
      </c>
      <c r="D33" s="285">
        <f>'11.F&amp;V Crop Production details'!C102</f>
        <v>0</v>
      </c>
      <c r="E33" s="285">
        <f>'11.F&amp;V Crop Production details'!D102</f>
        <v>0</v>
      </c>
      <c r="F33" s="285">
        <f>'11.F&amp;V Crop Production details'!E102</f>
        <v>0</v>
      </c>
      <c r="G33" s="285">
        <f>'11.F&amp;V Crop Production details'!F102</f>
        <v>0</v>
      </c>
      <c r="H33" s="285">
        <f>'11.F&amp;V Crop Production details'!G102</f>
        <v>0</v>
      </c>
      <c r="I33" s="285">
        <f>'11.F&amp;V Crop Production details'!H102</f>
        <v>0</v>
      </c>
    </row>
    <row r="34" spans="1:9" ht="15.75" customHeight="1">
      <c r="A34" s="78" t="str">
        <f>'11.F&amp;V Crop Production details'!A103</f>
        <v>Tomato</v>
      </c>
      <c r="B34" s="269"/>
      <c r="C34" s="285">
        <f>'11.F&amp;V Crop Production details'!B103</f>
        <v>0</v>
      </c>
      <c r="D34" s="285">
        <f>'11.F&amp;V Crop Production details'!C103</f>
        <v>0</v>
      </c>
      <c r="E34" s="285">
        <f>'11.F&amp;V Crop Production details'!D103</f>
        <v>0</v>
      </c>
      <c r="F34" s="285">
        <f>'11.F&amp;V Crop Production details'!E103</f>
        <v>0</v>
      </c>
      <c r="G34" s="285">
        <f>'11.F&amp;V Crop Production details'!F103</f>
        <v>0</v>
      </c>
      <c r="H34" s="285">
        <f>'11.F&amp;V Crop Production details'!G103</f>
        <v>0</v>
      </c>
      <c r="I34" s="285">
        <f>'11.F&amp;V Crop Production details'!H103</f>
        <v>0</v>
      </c>
    </row>
    <row r="35" spans="1:9" ht="15.75" customHeight="1">
      <c r="A35" s="78" t="str">
        <f>'11.F&amp;V Crop Production details'!A104</f>
        <v>Okra</v>
      </c>
      <c r="B35" s="269"/>
      <c r="C35" s="285">
        <f>'11.F&amp;V Crop Production details'!B104</f>
        <v>0</v>
      </c>
      <c r="D35" s="285">
        <f>'11.F&amp;V Crop Production details'!C104</f>
        <v>0</v>
      </c>
      <c r="E35" s="285">
        <f>'11.F&amp;V Crop Production details'!D104</f>
        <v>0</v>
      </c>
      <c r="F35" s="285">
        <f>'11.F&amp;V Crop Production details'!E104</f>
        <v>0</v>
      </c>
      <c r="G35" s="285">
        <f>'11.F&amp;V Crop Production details'!F104</f>
        <v>0</v>
      </c>
      <c r="H35" s="285">
        <f>'11.F&amp;V Crop Production details'!G104</f>
        <v>0</v>
      </c>
      <c r="I35" s="285">
        <f>'11.F&amp;V Crop Production details'!H104</f>
        <v>0</v>
      </c>
    </row>
    <row r="36" spans="1:9" ht="15.75" customHeight="1">
      <c r="A36" s="78" t="str">
        <f>'11.F&amp;V Crop Production details'!A105</f>
        <v>Chilli</v>
      </c>
      <c r="B36" s="269"/>
      <c r="C36" s="285">
        <f>'11.F&amp;V Crop Production details'!B105</f>
        <v>0</v>
      </c>
      <c r="D36" s="285">
        <f>'11.F&amp;V Crop Production details'!C105</f>
        <v>0</v>
      </c>
      <c r="E36" s="285">
        <f>'11.F&amp;V Crop Production details'!D105</f>
        <v>0</v>
      </c>
      <c r="F36" s="285">
        <f>'11.F&amp;V Crop Production details'!E105</f>
        <v>0</v>
      </c>
      <c r="G36" s="285">
        <f>'11.F&amp;V Crop Production details'!F105</f>
        <v>0</v>
      </c>
      <c r="H36" s="285">
        <f>'11.F&amp;V Crop Production details'!G105</f>
        <v>0</v>
      </c>
      <c r="I36" s="285">
        <f>'11.F&amp;V Crop Production details'!H105</f>
        <v>0</v>
      </c>
    </row>
    <row r="37" spans="1:9" ht="15.75" customHeight="1">
      <c r="A37" s="78" t="str">
        <f>'11.F&amp;V Crop Production details'!A106</f>
        <v>Potato</v>
      </c>
      <c r="B37" s="269"/>
      <c r="C37" s="285">
        <f>'11.F&amp;V Crop Production details'!B106</f>
        <v>0</v>
      </c>
      <c r="D37" s="285">
        <f>'11.F&amp;V Crop Production details'!C106</f>
        <v>0</v>
      </c>
      <c r="E37" s="285">
        <f>'11.F&amp;V Crop Production details'!D106</f>
        <v>0</v>
      </c>
      <c r="F37" s="285">
        <f>'11.F&amp;V Crop Production details'!E106</f>
        <v>0</v>
      </c>
      <c r="G37" s="285">
        <f>'11.F&amp;V Crop Production details'!F106</f>
        <v>0</v>
      </c>
      <c r="H37" s="285">
        <f>'11.F&amp;V Crop Production details'!G106</f>
        <v>0</v>
      </c>
      <c r="I37" s="285">
        <f>'11.F&amp;V Crop Production details'!H106</f>
        <v>0</v>
      </c>
    </row>
    <row r="38" spans="1:9" ht="15.75" customHeight="1">
      <c r="A38" s="78">
        <f>'11.F&amp;V Crop Production details'!A107</f>
        <v>0</v>
      </c>
      <c r="B38" s="269"/>
      <c r="C38" s="285">
        <f>'11.F&amp;V Crop Production details'!B107</f>
        <v>0</v>
      </c>
      <c r="D38" s="285">
        <f>'11.F&amp;V Crop Production details'!C107</f>
        <v>0</v>
      </c>
      <c r="E38" s="285">
        <f>'11.F&amp;V Crop Production details'!D107</f>
        <v>0</v>
      </c>
      <c r="F38" s="285">
        <f>'11.F&amp;V Crop Production details'!E107</f>
        <v>0</v>
      </c>
      <c r="G38" s="285">
        <f>'11.F&amp;V Crop Production details'!F107</f>
        <v>0</v>
      </c>
      <c r="H38" s="285">
        <f>'11.F&amp;V Crop Production details'!G107</f>
        <v>0</v>
      </c>
      <c r="I38" s="285">
        <f>'11.F&amp;V Crop Production details'!H107</f>
        <v>0</v>
      </c>
    </row>
    <row r="39" spans="1:9" ht="15.75" customHeight="1">
      <c r="A39" s="78">
        <f>'11.F&amp;V Crop Production details'!A108</f>
        <v>0</v>
      </c>
      <c r="B39" s="269"/>
      <c r="C39" s="285">
        <f>'11.F&amp;V Crop Production details'!B108</f>
        <v>0</v>
      </c>
      <c r="D39" s="285">
        <f>'11.F&amp;V Crop Production details'!C108</f>
        <v>0</v>
      </c>
      <c r="E39" s="285">
        <f>'11.F&amp;V Crop Production details'!D108</f>
        <v>0</v>
      </c>
      <c r="F39" s="285">
        <f>'11.F&amp;V Crop Production details'!E108</f>
        <v>0</v>
      </c>
      <c r="G39" s="285">
        <f>'11.F&amp;V Crop Production details'!F108</f>
        <v>0</v>
      </c>
      <c r="H39" s="285">
        <f>'11.F&amp;V Crop Production details'!G108</f>
        <v>0</v>
      </c>
      <c r="I39" s="285">
        <f>'11.F&amp;V Crop Production details'!H108</f>
        <v>0</v>
      </c>
    </row>
    <row r="40" spans="1:9" ht="15.75" customHeight="1">
      <c r="A40" s="78">
        <f>'11.F&amp;V Crop Production details'!A109</f>
        <v>0</v>
      </c>
      <c r="B40" s="269"/>
      <c r="C40" s="285">
        <f>'11.F&amp;V Crop Production details'!B109</f>
        <v>0</v>
      </c>
      <c r="D40" s="285">
        <f>'11.F&amp;V Crop Production details'!C109</f>
        <v>0</v>
      </c>
      <c r="E40" s="285">
        <f>'11.F&amp;V Crop Production details'!D109</f>
        <v>0</v>
      </c>
      <c r="F40" s="285">
        <f>'11.F&amp;V Crop Production details'!E109</f>
        <v>0</v>
      </c>
      <c r="G40" s="285">
        <f>'11.F&amp;V Crop Production details'!F109</f>
        <v>0</v>
      </c>
      <c r="H40" s="285">
        <f>'11.F&amp;V Crop Production details'!G109</f>
        <v>0</v>
      </c>
      <c r="I40" s="285">
        <f>'11.F&amp;V Crop Production details'!H109</f>
        <v>0</v>
      </c>
    </row>
    <row r="41" spans="1:9" ht="15.75" customHeight="1">
      <c r="A41" s="78">
        <f>'11.F&amp;V Crop Production details'!A110</f>
        <v>0</v>
      </c>
      <c r="B41" s="269"/>
      <c r="C41" s="285">
        <f>'11.F&amp;V Crop Production details'!B110</f>
        <v>0</v>
      </c>
      <c r="D41" s="285">
        <f>'11.F&amp;V Crop Production details'!C110</f>
        <v>0</v>
      </c>
      <c r="E41" s="285">
        <f>'11.F&amp;V Crop Production details'!D110</f>
        <v>0</v>
      </c>
      <c r="F41" s="285">
        <f>'11.F&amp;V Crop Production details'!E110</f>
        <v>0</v>
      </c>
      <c r="G41" s="285">
        <f>'11.F&amp;V Crop Production details'!F110</f>
        <v>0</v>
      </c>
      <c r="H41" s="285">
        <f>'11.F&amp;V Crop Production details'!G110</f>
        <v>0</v>
      </c>
      <c r="I41" s="285">
        <f>'11.F&amp;V Crop Production details'!H110</f>
        <v>0</v>
      </c>
    </row>
    <row r="42" spans="1:9" ht="15.75" customHeight="1">
      <c r="A42" s="78" t="str">
        <f>'11.F&amp;V Crop Production details'!A111</f>
        <v>Onion</v>
      </c>
      <c r="B42" s="269"/>
      <c r="C42" s="285">
        <f>'11.F&amp;V Crop Production details'!B111</f>
        <v>0</v>
      </c>
      <c r="D42" s="285">
        <f>'11.F&amp;V Crop Production details'!C111</f>
        <v>0</v>
      </c>
      <c r="E42" s="285">
        <f>'11.F&amp;V Crop Production details'!D111</f>
        <v>0</v>
      </c>
      <c r="F42" s="285">
        <f>'11.F&amp;V Crop Production details'!E111</f>
        <v>0</v>
      </c>
      <c r="G42" s="285">
        <f>'11.F&amp;V Crop Production details'!F111</f>
        <v>0</v>
      </c>
      <c r="H42" s="285">
        <f>'11.F&amp;V Crop Production details'!G111</f>
        <v>0</v>
      </c>
      <c r="I42" s="285">
        <f>'11.F&amp;V Crop Production details'!H111</f>
        <v>0</v>
      </c>
    </row>
    <row r="43" spans="1:9" ht="15.75" customHeight="1">
      <c r="A43" s="78" t="str">
        <f>'11.F&amp;V Crop Production details'!A112</f>
        <v>Tomato</v>
      </c>
      <c r="B43" s="269"/>
      <c r="C43" s="285">
        <f>'11.F&amp;V Crop Production details'!B112</f>
        <v>0</v>
      </c>
      <c r="D43" s="285">
        <f>'11.F&amp;V Crop Production details'!C112</f>
        <v>0</v>
      </c>
      <c r="E43" s="285">
        <f>'11.F&amp;V Crop Production details'!D112</f>
        <v>0</v>
      </c>
      <c r="F43" s="285">
        <f>'11.F&amp;V Crop Production details'!E112</f>
        <v>0</v>
      </c>
      <c r="G43" s="285">
        <f>'11.F&amp;V Crop Production details'!F112</f>
        <v>0</v>
      </c>
      <c r="H43" s="285">
        <f>'11.F&amp;V Crop Production details'!G112</f>
        <v>0</v>
      </c>
      <c r="I43" s="285">
        <f>'11.F&amp;V Crop Production details'!H112</f>
        <v>0</v>
      </c>
    </row>
    <row r="44" spans="1:9" ht="15.75" customHeight="1">
      <c r="A44" s="78" t="str">
        <f>'11.F&amp;V Crop Production details'!A113</f>
        <v>Okra</v>
      </c>
      <c r="B44" s="269"/>
      <c r="C44" s="285">
        <f>'11.F&amp;V Crop Production details'!B113</f>
        <v>0</v>
      </c>
      <c r="D44" s="285">
        <f>'11.F&amp;V Crop Production details'!C113</f>
        <v>0</v>
      </c>
      <c r="E44" s="285">
        <f>'11.F&amp;V Crop Production details'!D113</f>
        <v>0</v>
      </c>
      <c r="F44" s="285">
        <f>'11.F&amp;V Crop Production details'!E113</f>
        <v>0</v>
      </c>
      <c r="G44" s="285">
        <f>'11.F&amp;V Crop Production details'!F113</f>
        <v>0</v>
      </c>
      <c r="H44" s="285">
        <f>'11.F&amp;V Crop Production details'!G113</f>
        <v>0</v>
      </c>
      <c r="I44" s="285">
        <f>'11.F&amp;V Crop Production details'!H113</f>
        <v>0</v>
      </c>
    </row>
    <row r="45" spans="1:9" ht="15.75" customHeight="1">
      <c r="A45" s="78" t="str">
        <f>'11.F&amp;V Crop Production details'!A114</f>
        <v>Chilli</v>
      </c>
      <c r="B45" s="269"/>
      <c r="C45" s="285">
        <f>'11.F&amp;V Crop Production details'!B114</f>
        <v>0</v>
      </c>
      <c r="D45" s="285">
        <f>'11.F&amp;V Crop Production details'!C114</f>
        <v>0</v>
      </c>
      <c r="E45" s="285">
        <f>'11.F&amp;V Crop Production details'!D114</f>
        <v>0</v>
      </c>
      <c r="F45" s="285">
        <f>'11.F&amp;V Crop Production details'!E114</f>
        <v>0</v>
      </c>
      <c r="G45" s="285">
        <f>'11.F&amp;V Crop Production details'!F114</f>
        <v>0</v>
      </c>
      <c r="H45" s="285">
        <f>'11.F&amp;V Crop Production details'!G114</f>
        <v>0</v>
      </c>
      <c r="I45" s="285">
        <f>'11.F&amp;V Crop Production details'!H114</f>
        <v>0</v>
      </c>
    </row>
    <row r="46" spans="1:9" ht="15.75" customHeight="1">
      <c r="A46" s="78" t="str">
        <f>'11.F&amp;V Crop Production details'!A115</f>
        <v>Brinjal</v>
      </c>
      <c r="B46" s="269"/>
      <c r="C46" s="285">
        <f>'11.F&amp;V Crop Production details'!B115</f>
        <v>0</v>
      </c>
      <c r="D46" s="285">
        <f>'11.F&amp;V Crop Production details'!C115</f>
        <v>0</v>
      </c>
      <c r="E46" s="285">
        <f>'11.F&amp;V Crop Production details'!D115</f>
        <v>0</v>
      </c>
      <c r="F46" s="285">
        <f>'11.F&amp;V Crop Production details'!E115</f>
        <v>0</v>
      </c>
      <c r="G46" s="285">
        <f>'11.F&amp;V Crop Production details'!F115</f>
        <v>0</v>
      </c>
      <c r="H46" s="285">
        <f>'11.F&amp;V Crop Production details'!G115</f>
        <v>0</v>
      </c>
      <c r="I46" s="285">
        <f>'11.F&amp;V Crop Production details'!H115</f>
        <v>0</v>
      </c>
    </row>
    <row r="47" spans="1:9" ht="15.75" customHeight="1">
      <c r="A47" s="78">
        <f>'11.F&amp;V Crop Production details'!A116</f>
        <v>0</v>
      </c>
      <c r="B47" s="269"/>
      <c r="C47" s="285">
        <f>'11.F&amp;V Crop Production details'!B116</f>
        <v>0</v>
      </c>
      <c r="D47" s="285">
        <f>'11.F&amp;V Crop Production details'!C116</f>
        <v>0</v>
      </c>
      <c r="E47" s="285">
        <f>'11.F&amp;V Crop Production details'!D116</f>
        <v>0</v>
      </c>
      <c r="F47" s="285">
        <f>'11.F&amp;V Crop Production details'!E116</f>
        <v>0</v>
      </c>
      <c r="G47" s="285">
        <f>'11.F&amp;V Crop Production details'!F116</f>
        <v>0</v>
      </c>
      <c r="H47" s="285">
        <f>'11.F&amp;V Crop Production details'!G116</f>
        <v>0</v>
      </c>
      <c r="I47" s="285">
        <f>'11.F&amp;V Crop Production details'!H116</f>
        <v>0</v>
      </c>
    </row>
    <row r="48" spans="1:9" ht="15.75" customHeight="1">
      <c r="A48" s="78">
        <f>'11.F&amp;V Crop Production details'!A117</f>
        <v>0</v>
      </c>
      <c r="B48" s="269"/>
      <c r="C48" s="285">
        <f>'11.F&amp;V Crop Production details'!B117</f>
        <v>0</v>
      </c>
      <c r="D48" s="285">
        <f>'11.F&amp;V Crop Production details'!C117</f>
        <v>0</v>
      </c>
      <c r="E48" s="285">
        <f>'11.F&amp;V Crop Production details'!D117</f>
        <v>0</v>
      </c>
      <c r="F48" s="285">
        <f>'11.F&amp;V Crop Production details'!E117</f>
        <v>0</v>
      </c>
      <c r="G48" s="285">
        <f>'11.F&amp;V Crop Production details'!F117</f>
        <v>0</v>
      </c>
      <c r="H48" s="285">
        <f>'11.F&amp;V Crop Production details'!G117</f>
        <v>0</v>
      </c>
      <c r="I48" s="285">
        <f>'11.F&amp;V Crop Production details'!H117</f>
        <v>0</v>
      </c>
    </row>
    <row r="49" spans="1:9" ht="15.75" customHeight="1">
      <c r="A49" s="78">
        <f>'11.F&amp;V Crop Production details'!A118</f>
        <v>0</v>
      </c>
      <c r="B49" s="269"/>
      <c r="C49" s="285">
        <f>'11.F&amp;V Crop Production details'!B118</f>
        <v>0</v>
      </c>
      <c r="D49" s="285">
        <f>'11.F&amp;V Crop Production details'!C118</f>
        <v>0</v>
      </c>
      <c r="E49" s="285">
        <f>'11.F&amp;V Crop Production details'!D118</f>
        <v>0</v>
      </c>
      <c r="F49" s="285">
        <f>'11.F&amp;V Crop Production details'!E118</f>
        <v>0</v>
      </c>
      <c r="G49" s="285">
        <f>'11.F&amp;V Crop Production details'!F118</f>
        <v>0</v>
      </c>
      <c r="H49" s="285">
        <f>'11.F&amp;V Crop Production details'!G118</f>
        <v>0</v>
      </c>
      <c r="I49" s="285">
        <f>'11.F&amp;V Crop Production details'!H118</f>
        <v>0</v>
      </c>
    </row>
    <row r="50" spans="1:9" ht="15.75" customHeight="1">
      <c r="A50" s="78">
        <f>'11.F&amp;V Crop Production details'!A119</f>
        <v>0</v>
      </c>
      <c r="B50" s="269"/>
      <c r="C50" s="285">
        <f>'11.F&amp;V Crop Production details'!B119</f>
        <v>0</v>
      </c>
      <c r="D50" s="285">
        <f>'11.F&amp;V Crop Production details'!C119</f>
        <v>0</v>
      </c>
      <c r="E50" s="285">
        <f>'11.F&amp;V Crop Production details'!D119</f>
        <v>0</v>
      </c>
      <c r="F50" s="285">
        <f>'11.F&amp;V Crop Production details'!E119</f>
        <v>0</v>
      </c>
      <c r="G50" s="285">
        <f>'11.F&amp;V Crop Production details'!F119</f>
        <v>0</v>
      </c>
      <c r="H50" s="285">
        <f>'11.F&amp;V Crop Production details'!G119</f>
        <v>0</v>
      </c>
      <c r="I50" s="285">
        <f>'11.F&amp;V Crop Production details'!H119</f>
        <v>0</v>
      </c>
    </row>
    <row r="51" spans="1:9" ht="15.75" customHeight="1">
      <c r="A51" s="78">
        <f>'11.F&amp;V Crop Production details'!A120</f>
        <v>0</v>
      </c>
      <c r="B51" s="269"/>
      <c r="C51" s="285">
        <f>'11.F&amp;V Crop Production details'!B120</f>
        <v>0</v>
      </c>
      <c r="D51" s="285">
        <f>'11.F&amp;V Crop Production details'!C120</f>
        <v>0</v>
      </c>
      <c r="E51" s="285">
        <f>'11.F&amp;V Crop Production details'!D120</f>
        <v>0</v>
      </c>
      <c r="F51" s="285">
        <f>'11.F&amp;V Crop Production details'!E120</f>
        <v>0</v>
      </c>
      <c r="G51" s="285">
        <f>'11.F&amp;V Crop Production details'!F120</f>
        <v>0</v>
      </c>
      <c r="H51" s="285">
        <f>'11.F&amp;V Crop Production details'!G120</f>
        <v>0</v>
      </c>
      <c r="I51" s="285">
        <f>'11.F&amp;V Crop Production details'!H120</f>
        <v>0</v>
      </c>
    </row>
    <row r="52" spans="1:9" ht="15.75" customHeight="1">
      <c r="A52" s="78">
        <f>'11.F&amp;V Crop Production details'!A121</f>
        <v>0</v>
      </c>
      <c r="B52" s="269"/>
      <c r="C52" s="285">
        <f>'11.F&amp;V Crop Production details'!B121</f>
        <v>0</v>
      </c>
      <c r="D52" s="285">
        <f>'11.F&amp;V Crop Production details'!C121</f>
        <v>0</v>
      </c>
      <c r="E52" s="285">
        <f>'11.F&amp;V Crop Production details'!D121</f>
        <v>0</v>
      </c>
      <c r="F52" s="285">
        <f>'11.F&amp;V Crop Production details'!E121</f>
        <v>0</v>
      </c>
      <c r="G52" s="285">
        <f>'11.F&amp;V Crop Production details'!F121</f>
        <v>0</v>
      </c>
      <c r="H52" s="285">
        <f>'11.F&amp;V Crop Production details'!G121</f>
        <v>0</v>
      </c>
      <c r="I52" s="285">
        <f>'11.F&amp;V Crop Production details'!H121</f>
        <v>0</v>
      </c>
    </row>
    <row r="53" spans="1:9" ht="15.75" customHeight="1">
      <c r="A53" s="78">
        <f>'11.F&amp;V Crop Production details'!A122</f>
        <v>0</v>
      </c>
      <c r="B53" s="269"/>
      <c r="C53" s="285">
        <f>'11.F&amp;V Crop Production details'!B122</f>
        <v>0</v>
      </c>
      <c r="D53" s="285">
        <f>'11.F&amp;V Crop Production details'!C122</f>
        <v>0</v>
      </c>
      <c r="E53" s="285">
        <f>'11.F&amp;V Crop Production details'!D122</f>
        <v>0</v>
      </c>
      <c r="F53" s="285">
        <f>'11.F&amp;V Crop Production details'!E122</f>
        <v>0</v>
      </c>
      <c r="G53" s="285">
        <f>'11.F&amp;V Crop Production details'!F122</f>
        <v>0</v>
      </c>
      <c r="H53" s="285">
        <f>'11.F&amp;V Crop Production details'!G122</f>
        <v>0</v>
      </c>
      <c r="I53" s="285">
        <f>'11.F&amp;V Crop Production details'!H122</f>
        <v>0</v>
      </c>
    </row>
    <row r="54" spans="1:9" ht="15.75" customHeight="1">
      <c r="A54" s="78" t="str">
        <f>'11.F&amp;V Crop Production details'!A123</f>
        <v>Pomegranate</v>
      </c>
      <c r="B54" s="269"/>
      <c r="C54" s="285">
        <f>'11.F&amp;V Crop Production details'!B123</f>
        <v>0</v>
      </c>
      <c r="D54" s="285">
        <f>'11.F&amp;V Crop Production details'!C123</f>
        <v>0</v>
      </c>
      <c r="E54" s="285">
        <f>'11.F&amp;V Crop Production details'!D123</f>
        <v>0</v>
      </c>
      <c r="F54" s="285">
        <f>'11.F&amp;V Crop Production details'!E123</f>
        <v>0</v>
      </c>
      <c r="G54" s="285">
        <f>'11.F&amp;V Crop Production details'!F123</f>
        <v>0</v>
      </c>
      <c r="H54" s="285">
        <f>'11.F&amp;V Crop Production details'!G123</f>
        <v>0</v>
      </c>
      <c r="I54" s="285">
        <f>'11.F&amp;V Crop Production details'!H123</f>
        <v>0</v>
      </c>
    </row>
    <row r="55" spans="1:9" ht="15.75" customHeight="1">
      <c r="A55" s="78" t="str">
        <f>'11.F&amp;V Crop Production details'!A124</f>
        <v>Custard Apple</v>
      </c>
      <c r="B55" s="269"/>
      <c r="C55" s="285">
        <f>'11.F&amp;V Crop Production details'!B124</f>
        <v>0</v>
      </c>
      <c r="D55" s="285">
        <f>'11.F&amp;V Crop Production details'!C124</f>
        <v>0</v>
      </c>
      <c r="E55" s="285">
        <f>'11.F&amp;V Crop Production details'!D124</f>
        <v>0</v>
      </c>
      <c r="F55" s="285">
        <f>'11.F&amp;V Crop Production details'!E124</f>
        <v>0</v>
      </c>
      <c r="G55" s="285">
        <f>'11.F&amp;V Crop Production details'!F124</f>
        <v>0</v>
      </c>
      <c r="H55" s="285">
        <f>'11.F&amp;V Crop Production details'!G124</f>
        <v>0</v>
      </c>
      <c r="I55" s="285">
        <f>'11.F&amp;V Crop Production details'!H124</f>
        <v>0</v>
      </c>
    </row>
    <row r="56" spans="1:9" ht="15.75" customHeight="1">
      <c r="A56" s="78" t="str">
        <f>'11.F&amp;V Crop Production details'!A125</f>
        <v>Guava</v>
      </c>
      <c r="B56" s="269"/>
      <c r="C56" s="285">
        <f>'11.F&amp;V Crop Production details'!B125</f>
        <v>0</v>
      </c>
      <c r="D56" s="285">
        <f>'11.F&amp;V Crop Production details'!C125</f>
        <v>0</v>
      </c>
      <c r="E56" s="285">
        <f>'11.F&amp;V Crop Production details'!D125</f>
        <v>0</v>
      </c>
      <c r="F56" s="285">
        <f>'11.F&amp;V Crop Production details'!E125</f>
        <v>0</v>
      </c>
      <c r="G56" s="285">
        <f>'11.F&amp;V Crop Production details'!F125</f>
        <v>0</v>
      </c>
      <c r="H56" s="285">
        <f>'11.F&amp;V Crop Production details'!G125</f>
        <v>0</v>
      </c>
      <c r="I56" s="285">
        <f>'11.F&amp;V Crop Production details'!H125</f>
        <v>0</v>
      </c>
    </row>
    <row r="57" spans="1:9" ht="15.75" customHeight="1">
      <c r="A57" s="78" t="str">
        <f>'11.F&amp;V Crop Production details'!A126</f>
        <v>Citrus</v>
      </c>
      <c r="B57" s="269"/>
      <c r="C57" s="285">
        <f>'11.F&amp;V Crop Production details'!B126</f>
        <v>0</v>
      </c>
      <c r="D57" s="285">
        <f>'11.F&amp;V Crop Production details'!C126</f>
        <v>0</v>
      </c>
      <c r="E57" s="285">
        <f>'11.F&amp;V Crop Production details'!D126</f>
        <v>0</v>
      </c>
      <c r="F57" s="285">
        <f>'11.F&amp;V Crop Production details'!E126</f>
        <v>0</v>
      </c>
      <c r="G57" s="285">
        <f>'11.F&amp;V Crop Production details'!F126</f>
        <v>0</v>
      </c>
      <c r="H57" s="285">
        <f>'11.F&amp;V Crop Production details'!G126</f>
        <v>0</v>
      </c>
      <c r="I57" s="285">
        <f>'11.F&amp;V Crop Production details'!H126</f>
        <v>0</v>
      </c>
    </row>
    <row r="58" spans="1:9" ht="15.75" customHeight="1">
      <c r="A58" s="78"/>
      <c r="B58" s="269"/>
      <c r="C58" s="269"/>
      <c r="D58" s="269"/>
      <c r="E58" s="269"/>
      <c r="F58" s="269"/>
      <c r="G58" s="269"/>
      <c r="H58" s="269"/>
      <c r="I58" s="269"/>
    </row>
    <row r="59" spans="1:9" ht="15.75" customHeight="1">
      <c r="A59" s="81" t="s">
        <v>654</v>
      </c>
      <c r="B59" s="78"/>
      <c r="C59" s="78"/>
      <c r="D59" s="78"/>
      <c r="E59" s="78"/>
      <c r="F59" s="78"/>
      <c r="G59" s="78"/>
      <c r="H59" s="78"/>
      <c r="I59" s="78"/>
    </row>
    <row r="60" spans="1:9" ht="15.75" customHeight="1">
      <c r="A60" s="81" t="s">
        <v>655</v>
      </c>
      <c r="B60" s="78"/>
      <c r="C60" s="78"/>
      <c r="D60" s="78"/>
      <c r="E60" s="78"/>
      <c r="F60" s="78"/>
      <c r="G60" s="78"/>
      <c r="H60" s="78"/>
      <c r="I60" s="78"/>
    </row>
    <row r="61" spans="1:9" ht="15.75" customHeight="1">
      <c r="A61" s="81" t="str">
        <f t="shared" ref="A61:A110" si="0">A8</f>
        <v>Kharif Crops</v>
      </c>
      <c r="B61" s="78"/>
      <c r="C61" s="78"/>
      <c r="D61" s="78"/>
      <c r="E61" s="78"/>
      <c r="F61" s="78"/>
      <c r="G61" s="78"/>
      <c r="H61" s="78"/>
      <c r="I61" s="78"/>
    </row>
    <row r="62" spans="1:9" ht="15.75" customHeight="1">
      <c r="A62" s="78" t="str">
        <f t="shared" si="0"/>
        <v>Soybean</v>
      </c>
      <c r="B62" s="50">
        <v>40</v>
      </c>
      <c r="C62" s="269">
        <f>$B62*C9</f>
        <v>0</v>
      </c>
      <c r="D62" s="269">
        <f t="shared" ref="D62:I62" si="1">$B62*D9</f>
        <v>0</v>
      </c>
      <c r="E62" s="269">
        <f t="shared" si="1"/>
        <v>0</v>
      </c>
      <c r="F62" s="269">
        <f t="shared" si="1"/>
        <v>0</v>
      </c>
      <c r="G62" s="269">
        <f t="shared" si="1"/>
        <v>0</v>
      </c>
      <c r="H62" s="269">
        <f t="shared" si="1"/>
        <v>0</v>
      </c>
      <c r="I62" s="269">
        <f t="shared" si="1"/>
        <v>0</v>
      </c>
    </row>
    <row r="63" spans="1:9" ht="15.75" customHeight="1">
      <c r="A63" s="78" t="str">
        <f t="shared" si="0"/>
        <v>Red Gram/Tur</v>
      </c>
      <c r="B63" s="50">
        <v>5</v>
      </c>
      <c r="C63" s="269">
        <f t="shared" ref="C63:C69" si="2">$B63*C10</f>
        <v>0</v>
      </c>
      <c r="D63" s="269">
        <f t="shared" ref="D63:I63" si="3">$B$63*D10</f>
        <v>0</v>
      </c>
      <c r="E63" s="269">
        <f t="shared" si="3"/>
        <v>0</v>
      </c>
      <c r="F63" s="269">
        <f t="shared" si="3"/>
        <v>0</v>
      </c>
      <c r="G63" s="269">
        <f t="shared" si="3"/>
        <v>0</v>
      </c>
      <c r="H63" s="269">
        <f t="shared" si="3"/>
        <v>0</v>
      </c>
      <c r="I63" s="269">
        <f t="shared" si="3"/>
        <v>0</v>
      </c>
    </row>
    <row r="64" spans="1:9" ht="15.75" customHeight="1">
      <c r="A64" s="78" t="str">
        <f t="shared" si="0"/>
        <v>Paddy/Rice</v>
      </c>
      <c r="B64" s="50">
        <v>15</v>
      </c>
      <c r="C64" s="269">
        <f t="shared" si="2"/>
        <v>0</v>
      </c>
      <c r="D64" s="269">
        <f t="shared" ref="D64:I64" si="4">$B$64*D11</f>
        <v>0</v>
      </c>
      <c r="E64" s="269">
        <f t="shared" si="4"/>
        <v>0</v>
      </c>
      <c r="F64" s="269">
        <f t="shared" si="4"/>
        <v>0</v>
      </c>
      <c r="G64" s="269">
        <f t="shared" si="4"/>
        <v>0</v>
      </c>
      <c r="H64" s="269">
        <f t="shared" si="4"/>
        <v>0</v>
      </c>
      <c r="I64" s="269">
        <f t="shared" si="4"/>
        <v>0</v>
      </c>
    </row>
    <row r="65" spans="1:9" ht="15.75" customHeight="1">
      <c r="A65" s="78" t="str">
        <f t="shared" si="0"/>
        <v>Green Gram/ Moong</v>
      </c>
      <c r="B65" s="50">
        <v>15</v>
      </c>
      <c r="C65" s="269">
        <f t="shared" si="2"/>
        <v>0</v>
      </c>
      <c r="D65" s="269">
        <f t="shared" ref="D65:I65" si="5">$B65*D12</f>
        <v>0</v>
      </c>
      <c r="E65" s="269">
        <f t="shared" si="5"/>
        <v>0</v>
      </c>
      <c r="F65" s="269">
        <f t="shared" si="5"/>
        <v>0</v>
      </c>
      <c r="G65" s="269">
        <f t="shared" si="5"/>
        <v>0</v>
      </c>
      <c r="H65" s="269">
        <f t="shared" si="5"/>
        <v>0</v>
      </c>
      <c r="I65" s="269">
        <f t="shared" si="5"/>
        <v>0</v>
      </c>
    </row>
    <row r="66" spans="1:9" ht="15.75" customHeight="1">
      <c r="A66" s="78" t="str">
        <f t="shared" si="0"/>
        <v>Maize</v>
      </c>
      <c r="B66" s="50">
        <v>0</v>
      </c>
      <c r="C66" s="269">
        <f t="shared" si="2"/>
        <v>0</v>
      </c>
      <c r="D66" s="269">
        <f t="shared" ref="D66:I66" si="6">$B66*D13</f>
        <v>0</v>
      </c>
      <c r="E66" s="269">
        <f t="shared" si="6"/>
        <v>0</v>
      </c>
      <c r="F66" s="269">
        <f t="shared" si="6"/>
        <v>0</v>
      </c>
      <c r="G66" s="269">
        <f t="shared" si="6"/>
        <v>0</v>
      </c>
      <c r="H66" s="269">
        <f t="shared" si="6"/>
        <v>0</v>
      </c>
      <c r="I66" s="269">
        <f t="shared" si="6"/>
        <v>0</v>
      </c>
    </row>
    <row r="67" spans="1:9" ht="15.75" customHeight="1">
      <c r="A67" s="78" t="str">
        <f t="shared" si="0"/>
        <v>Black Gram/Udid</v>
      </c>
      <c r="B67" s="50">
        <v>0</v>
      </c>
      <c r="C67" s="269">
        <f t="shared" si="2"/>
        <v>0</v>
      </c>
      <c r="D67" s="269">
        <f t="shared" ref="D67:I67" si="7">$B67*D14</f>
        <v>0</v>
      </c>
      <c r="E67" s="269">
        <f t="shared" si="7"/>
        <v>0</v>
      </c>
      <c r="F67" s="269">
        <f t="shared" si="7"/>
        <v>0</v>
      </c>
      <c r="G67" s="269">
        <f t="shared" si="7"/>
        <v>0</v>
      </c>
      <c r="H67" s="269">
        <f t="shared" si="7"/>
        <v>0</v>
      </c>
      <c r="I67" s="269">
        <f t="shared" si="7"/>
        <v>0</v>
      </c>
    </row>
    <row r="68" spans="1:9" ht="15.75" customHeight="1">
      <c r="A68" s="78" t="str">
        <f t="shared" si="0"/>
        <v>Bajra</v>
      </c>
      <c r="B68" s="50">
        <v>0</v>
      </c>
      <c r="C68" s="269">
        <f t="shared" si="2"/>
        <v>0</v>
      </c>
      <c r="D68" s="269">
        <f t="shared" ref="D68:I68" si="8">$B68*D15</f>
        <v>0</v>
      </c>
      <c r="E68" s="269">
        <f t="shared" si="8"/>
        <v>0</v>
      </c>
      <c r="F68" s="269">
        <f t="shared" si="8"/>
        <v>0</v>
      </c>
      <c r="G68" s="269">
        <f t="shared" si="8"/>
        <v>0</v>
      </c>
      <c r="H68" s="269">
        <f t="shared" si="8"/>
        <v>0</v>
      </c>
      <c r="I68" s="269">
        <f t="shared" si="8"/>
        <v>0</v>
      </c>
    </row>
    <row r="69" spans="1:9" ht="15.75" customHeight="1">
      <c r="A69" s="78" t="str">
        <f t="shared" si="0"/>
        <v>Jawar</v>
      </c>
      <c r="B69" s="50">
        <v>0</v>
      </c>
      <c r="C69" s="269">
        <f t="shared" si="2"/>
        <v>0</v>
      </c>
      <c r="D69" s="269">
        <f t="shared" ref="D69:I69" si="9">$B69*D16</f>
        <v>0</v>
      </c>
      <c r="E69" s="269">
        <f t="shared" si="9"/>
        <v>0</v>
      </c>
      <c r="F69" s="269">
        <f t="shared" si="9"/>
        <v>0</v>
      </c>
      <c r="G69" s="269">
        <f t="shared" si="9"/>
        <v>0</v>
      </c>
      <c r="H69" s="269">
        <f t="shared" si="9"/>
        <v>0</v>
      </c>
      <c r="I69" s="269">
        <f t="shared" si="9"/>
        <v>0</v>
      </c>
    </row>
    <row r="70" spans="1:9" ht="15.75" customHeight="1">
      <c r="A70" s="81" t="str">
        <f t="shared" si="0"/>
        <v>Rabi Crop</v>
      </c>
      <c r="B70" s="50"/>
      <c r="C70" s="269"/>
      <c r="D70" s="269"/>
      <c r="E70" s="269"/>
      <c r="F70" s="269"/>
      <c r="G70" s="269"/>
      <c r="H70" s="269"/>
      <c r="I70" s="269"/>
    </row>
    <row r="71" spans="1:9" ht="15.75" customHeight="1">
      <c r="A71" s="78" t="str">
        <f t="shared" si="0"/>
        <v>Wheat</v>
      </c>
      <c r="B71" s="50">
        <v>20</v>
      </c>
      <c r="C71" s="269">
        <f t="shared" ref="C71:I71" si="10">$B71*C18</f>
        <v>0</v>
      </c>
      <c r="D71" s="269">
        <f t="shared" si="10"/>
        <v>0</v>
      </c>
      <c r="E71" s="269">
        <f t="shared" si="10"/>
        <v>0</v>
      </c>
      <c r="F71" s="269">
        <f t="shared" si="10"/>
        <v>0</v>
      </c>
      <c r="G71" s="269">
        <f t="shared" si="10"/>
        <v>0</v>
      </c>
      <c r="H71" s="269">
        <f t="shared" si="10"/>
        <v>0</v>
      </c>
      <c r="I71" s="269">
        <f t="shared" si="10"/>
        <v>0</v>
      </c>
    </row>
    <row r="72" spans="1:9" ht="15.75" customHeight="1">
      <c r="A72" s="78" t="str">
        <f t="shared" si="0"/>
        <v>Bengal Gram/Channa</v>
      </c>
      <c r="B72" s="50">
        <v>25</v>
      </c>
      <c r="C72" s="269">
        <f t="shared" ref="C72:I72" si="11">$B72*C19</f>
        <v>0</v>
      </c>
      <c r="D72" s="269">
        <f t="shared" si="11"/>
        <v>0</v>
      </c>
      <c r="E72" s="269">
        <f t="shared" si="11"/>
        <v>0</v>
      </c>
      <c r="F72" s="269">
        <f t="shared" si="11"/>
        <v>0</v>
      </c>
      <c r="G72" s="269">
        <f t="shared" si="11"/>
        <v>0</v>
      </c>
      <c r="H72" s="269">
        <f t="shared" si="11"/>
        <v>0</v>
      </c>
      <c r="I72" s="269">
        <f t="shared" si="11"/>
        <v>0</v>
      </c>
    </row>
    <row r="73" spans="1:9" ht="15.75" customHeight="1">
      <c r="A73" s="78" t="str">
        <f t="shared" si="0"/>
        <v>Jawar</v>
      </c>
      <c r="B73" s="50">
        <v>0</v>
      </c>
      <c r="C73" s="269">
        <f t="shared" ref="C73:I73" si="12">$B73*C20</f>
        <v>0</v>
      </c>
      <c r="D73" s="269">
        <f t="shared" si="12"/>
        <v>0</v>
      </c>
      <c r="E73" s="269">
        <f t="shared" si="12"/>
        <v>0</v>
      </c>
      <c r="F73" s="269">
        <f t="shared" si="12"/>
        <v>0</v>
      </c>
      <c r="G73" s="269">
        <f t="shared" si="12"/>
        <v>0</v>
      </c>
      <c r="H73" s="269">
        <f t="shared" si="12"/>
        <v>0</v>
      </c>
      <c r="I73" s="269">
        <f t="shared" si="12"/>
        <v>0</v>
      </c>
    </row>
    <row r="74" spans="1:9" ht="15.75" customHeight="1">
      <c r="A74" s="78" t="str">
        <f t="shared" si="0"/>
        <v>Maize</v>
      </c>
      <c r="B74" s="50">
        <v>0</v>
      </c>
      <c r="C74" s="269">
        <f t="shared" ref="C74:I74" si="13">$B74*C21</f>
        <v>0</v>
      </c>
      <c r="D74" s="269">
        <f t="shared" si="13"/>
        <v>0</v>
      </c>
      <c r="E74" s="269">
        <f t="shared" si="13"/>
        <v>0</v>
      </c>
      <c r="F74" s="269">
        <f t="shared" si="13"/>
        <v>0</v>
      </c>
      <c r="G74" s="269">
        <f t="shared" si="13"/>
        <v>0</v>
      </c>
      <c r="H74" s="269">
        <f t="shared" si="13"/>
        <v>0</v>
      </c>
      <c r="I74" s="269">
        <f t="shared" si="13"/>
        <v>0</v>
      </c>
    </row>
    <row r="75" spans="1:9" ht="15.75" customHeight="1">
      <c r="A75" s="78" t="str">
        <f t="shared" si="0"/>
        <v>Safflower</v>
      </c>
      <c r="B75" s="50"/>
      <c r="C75" s="269">
        <f t="shared" ref="C75:I75" si="14">$B75*C22</f>
        <v>0</v>
      </c>
      <c r="D75" s="269">
        <f t="shared" si="14"/>
        <v>0</v>
      </c>
      <c r="E75" s="269">
        <f t="shared" si="14"/>
        <v>0</v>
      </c>
      <c r="F75" s="269">
        <f t="shared" si="14"/>
        <v>0</v>
      </c>
      <c r="G75" s="269">
        <f t="shared" si="14"/>
        <v>0</v>
      </c>
      <c r="H75" s="269">
        <f t="shared" si="14"/>
        <v>0</v>
      </c>
      <c r="I75" s="269">
        <f t="shared" si="14"/>
        <v>0</v>
      </c>
    </row>
    <row r="76" spans="1:9" ht="15.75" customHeight="1">
      <c r="A76" s="78">
        <f t="shared" si="0"/>
        <v>0</v>
      </c>
      <c r="B76" s="50"/>
      <c r="C76" s="269">
        <f t="shared" ref="C76:I76" si="15">$B76*C23</f>
        <v>0</v>
      </c>
      <c r="D76" s="269">
        <f t="shared" si="15"/>
        <v>0</v>
      </c>
      <c r="E76" s="269">
        <f t="shared" si="15"/>
        <v>0</v>
      </c>
      <c r="F76" s="269">
        <f t="shared" si="15"/>
        <v>0</v>
      </c>
      <c r="G76" s="269">
        <f t="shared" si="15"/>
        <v>0</v>
      </c>
      <c r="H76" s="269">
        <f t="shared" si="15"/>
        <v>0</v>
      </c>
      <c r="I76" s="269">
        <f t="shared" si="15"/>
        <v>0</v>
      </c>
    </row>
    <row r="77" spans="1:9" ht="15.75" customHeight="1">
      <c r="A77" s="78">
        <f t="shared" si="0"/>
        <v>0</v>
      </c>
      <c r="B77" s="50"/>
      <c r="C77" s="269">
        <f t="shared" ref="C77:I77" si="16">$B77*C24</f>
        <v>0</v>
      </c>
      <c r="D77" s="269">
        <f t="shared" si="16"/>
        <v>0</v>
      </c>
      <c r="E77" s="269">
        <f t="shared" si="16"/>
        <v>0</v>
      </c>
      <c r="F77" s="269">
        <f t="shared" si="16"/>
        <v>0</v>
      </c>
      <c r="G77" s="269">
        <f t="shared" si="16"/>
        <v>0</v>
      </c>
      <c r="H77" s="269">
        <f t="shared" si="16"/>
        <v>0</v>
      </c>
      <c r="I77" s="269">
        <f t="shared" si="16"/>
        <v>0</v>
      </c>
    </row>
    <row r="78" spans="1:9" ht="15.75" customHeight="1">
      <c r="A78" s="78">
        <f t="shared" si="0"/>
        <v>0</v>
      </c>
      <c r="B78" s="50"/>
      <c r="C78" s="269">
        <f t="shared" ref="C78:I78" si="17">$B78*C25</f>
        <v>0</v>
      </c>
      <c r="D78" s="269">
        <f t="shared" si="17"/>
        <v>0</v>
      </c>
      <c r="E78" s="269">
        <f t="shared" si="17"/>
        <v>0</v>
      </c>
      <c r="F78" s="269">
        <f t="shared" si="17"/>
        <v>0</v>
      </c>
      <c r="G78" s="269">
        <f t="shared" si="17"/>
        <v>0</v>
      </c>
      <c r="H78" s="269">
        <f t="shared" si="17"/>
        <v>0</v>
      </c>
      <c r="I78" s="269">
        <f t="shared" si="17"/>
        <v>0</v>
      </c>
    </row>
    <row r="79" spans="1:9" ht="15.75" customHeight="1">
      <c r="A79" s="81" t="str">
        <f t="shared" si="0"/>
        <v>Summer</v>
      </c>
      <c r="B79" s="50"/>
      <c r="C79" s="269"/>
      <c r="D79" s="269"/>
      <c r="E79" s="269"/>
      <c r="F79" s="269"/>
      <c r="G79" s="269"/>
      <c r="H79" s="269"/>
      <c r="I79" s="269"/>
    </row>
    <row r="80" spans="1:9" ht="15.75" customHeight="1">
      <c r="A80" s="78" t="str">
        <f t="shared" si="0"/>
        <v>Groundnut</v>
      </c>
      <c r="B80" s="50"/>
      <c r="C80" s="269">
        <f t="shared" ref="C80:I80" si="18">$B80*C27</f>
        <v>0</v>
      </c>
      <c r="D80" s="269">
        <f t="shared" si="18"/>
        <v>0</v>
      </c>
      <c r="E80" s="269">
        <f t="shared" si="18"/>
        <v>0</v>
      </c>
      <c r="F80" s="269">
        <f t="shared" si="18"/>
        <v>0</v>
      </c>
      <c r="G80" s="269">
        <f t="shared" si="18"/>
        <v>0</v>
      </c>
      <c r="H80" s="269">
        <f t="shared" si="18"/>
        <v>0</v>
      </c>
      <c r="I80" s="269">
        <f t="shared" si="18"/>
        <v>0</v>
      </c>
    </row>
    <row r="81" spans="1:9" ht="15.75" customHeight="1">
      <c r="A81" s="78">
        <f t="shared" si="0"/>
        <v>0</v>
      </c>
      <c r="B81" s="50"/>
      <c r="C81" s="269">
        <f t="shared" ref="C81:I81" si="19">$B81*C28</f>
        <v>0</v>
      </c>
      <c r="D81" s="269">
        <f t="shared" si="19"/>
        <v>0</v>
      </c>
      <c r="E81" s="269">
        <f t="shared" si="19"/>
        <v>0</v>
      </c>
      <c r="F81" s="269">
        <f t="shared" si="19"/>
        <v>0</v>
      </c>
      <c r="G81" s="269">
        <f t="shared" si="19"/>
        <v>0</v>
      </c>
      <c r="H81" s="269">
        <f t="shared" si="19"/>
        <v>0</v>
      </c>
      <c r="I81" s="269">
        <f t="shared" si="19"/>
        <v>0</v>
      </c>
    </row>
    <row r="82" spans="1:9" ht="15.75" customHeight="1">
      <c r="A82" s="78">
        <f t="shared" si="0"/>
        <v>0</v>
      </c>
      <c r="B82" s="50"/>
      <c r="C82" s="269">
        <f t="shared" ref="C82:I82" si="20">$B82*C29</f>
        <v>0</v>
      </c>
      <c r="D82" s="269">
        <f t="shared" si="20"/>
        <v>0</v>
      </c>
      <c r="E82" s="269">
        <f t="shared" si="20"/>
        <v>0</v>
      </c>
      <c r="F82" s="269">
        <f t="shared" si="20"/>
        <v>0</v>
      </c>
      <c r="G82" s="269">
        <f t="shared" si="20"/>
        <v>0</v>
      </c>
      <c r="H82" s="269">
        <f t="shared" si="20"/>
        <v>0</v>
      </c>
      <c r="I82" s="269">
        <f t="shared" si="20"/>
        <v>0</v>
      </c>
    </row>
    <row r="83" spans="1:9" ht="15.75" customHeight="1">
      <c r="A83" s="78">
        <f t="shared" si="0"/>
        <v>0</v>
      </c>
      <c r="B83" s="50"/>
      <c r="C83" s="269">
        <f t="shared" ref="C83:I83" si="21">$B83*C30</f>
        <v>0</v>
      </c>
      <c r="D83" s="269">
        <f t="shared" si="21"/>
        <v>0</v>
      </c>
      <c r="E83" s="269">
        <f t="shared" si="21"/>
        <v>0</v>
      </c>
      <c r="F83" s="269">
        <f t="shared" si="21"/>
        <v>0</v>
      </c>
      <c r="G83" s="269">
        <f t="shared" si="21"/>
        <v>0</v>
      </c>
      <c r="H83" s="269">
        <f t="shared" si="21"/>
        <v>0</v>
      </c>
      <c r="I83" s="269">
        <f t="shared" si="21"/>
        <v>0</v>
      </c>
    </row>
    <row r="84" spans="1:9" ht="15.75" customHeight="1">
      <c r="A84" s="78">
        <f t="shared" si="0"/>
        <v>0</v>
      </c>
      <c r="B84" s="50"/>
      <c r="C84" s="269">
        <f t="shared" ref="C84:I84" si="22">$B84*C31</f>
        <v>0</v>
      </c>
      <c r="D84" s="269">
        <f t="shared" si="22"/>
        <v>0</v>
      </c>
      <c r="E84" s="269">
        <f t="shared" si="22"/>
        <v>0</v>
      </c>
      <c r="F84" s="269">
        <f t="shared" si="22"/>
        <v>0</v>
      </c>
      <c r="G84" s="269">
        <f t="shared" si="22"/>
        <v>0</v>
      </c>
      <c r="H84" s="269">
        <f t="shared" si="22"/>
        <v>0</v>
      </c>
      <c r="I84" s="269">
        <f t="shared" si="22"/>
        <v>0</v>
      </c>
    </row>
    <row r="85" spans="1:9" ht="15.75" customHeight="1">
      <c r="A85" s="81" t="str">
        <f t="shared" si="0"/>
        <v>Fruit  &amp; Vegetables Crop Production Details</v>
      </c>
      <c r="B85" s="50"/>
      <c r="C85" s="269"/>
      <c r="D85" s="269"/>
      <c r="E85" s="269"/>
      <c r="F85" s="269"/>
      <c r="G85" s="269"/>
      <c r="H85" s="269"/>
      <c r="I85" s="269"/>
    </row>
    <row r="86" spans="1:9" ht="15.75" customHeight="1">
      <c r="A86" s="78" t="str">
        <f t="shared" si="0"/>
        <v>Onion</v>
      </c>
      <c r="B86" s="50"/>
      <c r="C86" s="269">
        <f t="shared" ref="C86:I86" si="23">$B86*C33</f>
        <v>0</v>
      </c>
      <c r="D86" s="269">
        <f t="shared" si="23"/>
        <v>0</v>
      </c>
      <c r="E86" s="269">
        <f t="shared" si="23"/>
        <v>0</v>
      </c>
      <c r="F86" s="269">
        <f t="shared" si="23"/>
        <v>0</v>
      </c>
      <c r="G86" s="269">
        <f t="shared" si="23"/>
        <v>0</v>
      </c>
      <c r="H86" s="269">
        <f t="shared" si="23"/>
        <v>0</v>
      </c>
      <c r="I86" s="269">
        <f t="shared" si="23"/>
        <v>0</v>
      </c>
    </row>
    <row r="87" spans="1:9" ht="15.75" customHeight="1">
      <c r="A87" s="78" t="str">
        <f t="shared" si="0"/>
        <v>Tomato</v>
      </c>
      <c r="B87" s="50"/>
      <c r="C87" s="269">
        <f t="shared" ref="C87:I87" si="24">$B87*C34</f>
        <v>0</v>
      </c>
      <c r="D87" s="269">
        <f t="shared" si="24"/>
        <v>0</v>
      </c>
      <c r="E87" s="269">
        <f t="shared" si="24"/>
        <v>0</v>
      </c>
      <c r="F87" s="269">
        <f t="shared" si="24"/>
        <v>0</v>
      </c>
      <c r="G87" s="269">
        <f t="shared" si="24"/>
        <v>0</v>
      </c>
      <c r="H87" s="269">
        <f t="shared" si="24"/>
        <v>0</v>
      </c>
      <c r="I87" s="269">
        <f t="shared" si="24"/>
        <v>0</v>
      </c>
    </row>
    <row r="88" spans="1:9" ht="15.75" customHeight="1">
      <c r="A88" s="78" t="str">
        <f t="shared" si="0"/>
        <v>Okra</v>
      </c>
      <c r="B88" s="50"/>
      <c r="C88" s="269">
        <f t="shared" ref="C88:I88" si="25">$B88*C35</f>
        <v>0</v>
      </c>
      <c r="D88" s="269">
        <f t="shared" si="25"/>
        <v>0</v>
      </c>
      <c r="E88" s="269">
        <f t="shared" si="25"/>
        <v>0</v>
      </c>
      <c r="F88" s="269">
        <f t="shared" si="25"/>
        <v>0</v>
      </c>
      <c r="G88" s="269">
        <f t="shared" si="25"/>
        <v>0</v>
      </c>
      <c r="H88" s="269">
        <f t="shared" si="25"/>
        <v>0</v>
      </c>
      <c r="I88" s="269">
        <f t="shared" si="25"/>
        <v>0</v>
      </c>
    </row>
    <row r="89" spans="1:9" ht="15.75" customHeight="1">
      <c r="A89" s="78" t="str">
        <f t="shared" si="0"/>
        <v>Chilli</v>
      </c>
      <c r="B89" s="50"/>
      <c r="C89" s="269">
        <f t="shared" ref="C89:I89" si="26">$B89*C36</f>
        <v>0</v>
      </c>
      <c r="D89" s="269">
        <f t="shared" si="26"/>
        <v>0</v>
      </c>
      <c r="E89" s="269">
        <f t="shared" si="26"/>
        <v>0</v>
      </c>
      <c r="F89" s="269">
        <f t="shared" si="26"/>
        <v>0</v>
      </c>
      <c r="G89" s="269">
        <f t="shared" si="26"/>
        <v>0</v>
      </c>
      <c r="H89" s="269">
        <f t="shared" si="26"/>
        <v>0</v>
      </c>
      <c r="I89" s="269">
        <f t="shared" si="26"/>
        <v>0</v>
      </c>
    </row>
    <row r="90" spans="1:9" ht="15.75" customHeight="1">
      <c r="A90" s="78" t="str">
        <f t="shared" si="0"/>
        <v>Potato</v>
      </c>
      <c r="B90" s="50"/>
      <c r="C90" s="269">
        <f t="shared" ref="C90:I90" si="27">$B90*C37</f>
        <v>0</v>
      </c>
      <c r="D90" s="269">
        <f t="shared" si="27"/>
        <v>0</v>
      </c>
      <c r="E90" s="269">
        <f t="shared" si="27"/>
        <v>0</v>
      </c>
      <c r="F90" s="269">
        <f t="shared" si="27"/>
        <v>0</v>
      </c>
      <c r="G90" s="269">
        <f t="shared" si="27"/>
        <v>0</v>
      </c>
      <c r="H90" s="269">
        <f t="shared" si="27"/>
        <v>0</v>
      </c>
      <c r="I90" s="269">
        <f t="shared" si="27"/>
        <v>0</v>
      </c>
    </row>
    <row r="91" spans="1:9" ht="15.75" customHeight="1">
      <c r="A91" s="78">
        <f t="shared" si="0"/>
        <v>0</v>
      </c>
      <c r="B91" s="50"/>
      <c r="C91" s="269">
        <f t="shared" ref="C91:I91" si="28">$B91*C38</f>
        <v>0</v>
      </c>
      <c r="D91" s="269">
        <f t="shared" si="28"/>
        <v>0</v>
      </c>
      <c r="E91" s="269">
        <f t="shared" si="28"/>
        <v>0</v>
      </c>
      <c r="F91" s="269">
        <f t="shared" si="28"/>
        <v>0</v>
      </c>
      <c r="G91" s="269">
        <f t="shared" si="28"/>
        <v>0</v>
      </c>
      <c r="H91" s="269">
        <f t="shared" si="28"/>
        <v>0</v>
      </c>
      <c r="I91" s="269">
        <f t="shared" si="28"/>
        <v>0</v>
      </c>
    </row>
    <row r="92" spans="1:9" ht="15.75" customHeight="1">
      <c r="A92" s="78">
        <f t="shared" si="0"/>
        <v>0</v>
      </c>
      <c r="B92" s="50"/>
      <c r="C92" s="269">
        <f t="shared" ref="C92:I92" si="29">$B92*C39</f>
        <v>0</v>
      </c>
      <c r="D92" s="269">
        <f t="shared" si="29"/>
        <v>0</v>
      </c>
      <c r="E92" s="269">
        <f t="shared" si="29"/>
        <v>0</v>
      </c>
      <c r="F92" s="269">
        <f t="shared" si="29"/>
        <v>0</v>
      </c>
      <c r="G92" s="269">
        <f t="shared" si="29"/>
        <v>0</v>
      </c>
      <c r="H92" s="269">
        <f t="shared" si="29"/>
        <v>0</v>
      </c>
      <c r="I92" s="269">
        <f t="shared" si="29"/>
        <v>0</v>
      </c>
    </row>
    <row r="93" spans="1:9" ht="15.75" customHeight="1">
      <c r="A93" s="78">
        <f t="shared" si="0"/>
        <v>0</v>
      </c>
      <c r="B93" s="50"/>
      <c r="C93" s="269">
        <f t="shared" ref="C93:I93" si="30">$B93*C40</f>
        <v>0</v>
      </c>
      <c r="D93" s="269">
        <f t="shared" si="30"/>
        <v>0</v>
      </c>
      <c r="E93" s="269">
        <f t="shared" si="30"/>
        <v>0</v>
      </c>
      <c r="F93" s="269">
        <f t="shared" si="30"/>
        <v>0</v>
      </c>
      <c r="G93" s="269">
        <f t="shared" si="30"/>
        <v>0</v>
      </c>
      <c r="H93" s="269">
        <f t="shared" si="30"/>
        <v>0</v>
      </c>
      <c r="I93" s="269">
        <f t="shared" si="30"/>
        <v>0</v>
      </c>
    </row>
    <row r="94" spans="1:9" ht="15.75" customHeight="1">
      <c r="A94" s="78">
        <f t="shared" si="0"/>
        <v>0</v>
      </c>
      <c r="B94" s="50"/>
      <c r="C94" s="269">
        <f t="shared" ref="C94:I94" si="31">$B94*C41</f>
        <v>0</v>
      </c>
      <c r="D94" s="269">
        <f t="shared" si="31"/>
        <v>0</v>
      </c>
      <c r="E94" s="269">
        <f t="shared" si="31"/>
        <v>0</v>
      </c>
      <c r="F94" s="269">
        <f t="shared" si="31"/>
        <v>0</v>
      </c>
      <c r="G94" s="269">
        <f t="shared" si="31"/>
        <v>0</v>
      </c>
      <c r="H94" s="269">
        <f t="shared" si="31"/>
        <v>0</v>
      </c>
      <c r="I94" s="269">
        <f t="shared" si="31"/>
        <v>0</v>
      </c>
    </row>
    <row r="95" spans="1:9" ht="15.75" customHeight="1">
      <c r="A95" s="78" t="str">
        <f t="shared" si="0"/>
        <v>Onion</v>
      </c>
      <c r="B95" s="50"/>
      <c r="C95" s="269">
        <f t="shared" ref="C95:I95" si="32">$B95*C42</f>
        <v>0</v>
      </c>
      <c r="D95" s="269">
        <f t="shared" si="32"/>
        <v>0</v>
      </c>
      <c r="E95" s="269">
        <f t="shared" si="32"/>
        <v>0</v>
      </c>
      <c r="F95" s="269">
        <f t="shared" si="32"/>
        <v>0</v>
      </c>
      <c r="G95" s="269">
        <f t="shared" si="32"/>
        <v>0</v>
      </c>
      <c r="H95" s="269">
        <f t="shared" si="32"/>
        <v>0</v>
      </c>
      <c r="I95" s="269">
        <f t="shared" si="32"/>
        <v>0</v>
      </c>
    </row>
    <row r="96" spans="1:9" ht="15.75" customHeight="1">
      <c r="A96" s="78" t="str">
        <f t="shared" si="0"/>
        <v>Tomato</v>
      </c>
      <c r="B96" s="50"/>
      <c r="C96" s="269">
        <f t="shared" ref="C96:I96" si="33">$B96*C43</f>
        <v>0</v>
      </c>
      <c r="D96" s="269">
        <f t="shared" si="33"/>
        <v>0</v>
      </c>
      <c r="E96" s="269">
        <f t="shared" si="33"/>
        <v>0</v>
      </c>
      <c r="F96" s="269">
        <f t="shared" si="33"/>
        <v>0</v>
      </c>
      <c r="G96" s="269">
        <f t="shared" si="33"/>
        <v>0</v>
      </c>
      <c r="H96" s="269">
        <f t="shared" si="33"/>
        <v>0</v>
      </c>
      <c r="I96" s="269">
        <f t="shared" si="33"/>
        <v>0</v>
      </c>
    </row>
    <row r="97" spans="1:9" ht="15.75" customHeight="1">
      <c r="A97" s="78" t="str">
        <f t="shared" si="0"/>
        <v>Okra</v>
      </c>
      <c r="B97" s="50"/>
      <c r="C97" s="269">
        <f t="shared" ref="C97:I97" si="34">$B97*C44</f>
        <v>0</v>
      </c>
      <c r="D97" s="269">
        <f t="shared" si="34"/>
        <v>0</v>
      </c>
      <c r="E97" s="269">
        <f t="shared" si="34"/>
        <v>0</v>
      </c>
      <c r="F97" s="269">
        <f t="shared" si="34"/>
        <v>0</v>
      </c>
      <c r="G97" s="269">
        <f t="shared" si="34"/>
        <v>0</v>
      </c>
      <c r="H97" s="269">
        <f t="shared" si="34"/>
        <v>0</v>
      </c>
      <c r="I97" s="269">
        <f t="shared" si="34"/>
        <v>0</v>
      </c>
    </row>
    <row r="98" spans="1:9" ht="15.75" customHeight="1">
      <c r="A98" s="78" t="str">
        <f t="shared" si="0"/>
        <v>Chilli</v>
      </c>
      <c r="B98" s="50"/>
      <c r="C98" s="269">
        <f t="shared" ref="C98:I98" si="35">$B98*C45</f>
        <v>0</v>
      </c>
      <c r="D98" s="269">
        <f t="shared" si="35"/>
        <v>0</v>
      </c>
      <c r="E98" s="269">
        <f t="shared" si="35"/>
        <v>0</v>
      </c>
      <c r="F98" s="269">
        <f t="shared" si="35"/>
        <v>0</v>
      </c>
      <c r="G98" s="269">
        <f t="shared" si="35"/>
        <v>0</v>
      </c>
      <c r="H98" s="269">
        <f t="shared" si="35"/>
        <v>0</v>
      </c>
      <c r="I98" s="269">
        <f t="shared" si="35"/>
        <v>0</v>
      </c>
    </row>
    <row r="99" spans="1:9" ht="15.75" customHeight="1">
      <c r="A99" s="78" t="str">
        <f t="shared" si="0"/>
        <v>Brinjal</v>
      </c>
      <c r="B99" s="50"/>
      <c r="C99" s="269">
        <f t="shared" ref="C99:I99" si="36">$B99*C46</f>
        <v>0</v>
      </c>
      <c r="D99" s="269">
        <f t="shared" si="36"/>
        <v>0</v>
      </c>
      <c r="E99" s="269">
        <f t="shared" si="36"/>
        <v>0</v>
      </c>
      <c r="F99" s="269">
        <f t="shared" si="36"/>
        <v>0</v>
      </c>
      <c r="G99" s="269">
        <f t="shared" si="36"/>
        <v>0</v>
      </c>
      <c r="H99" s="269">
        <f t="shared" si="36"/>
        <v>0</v>
      </c>
      <c r="I99" s="269">
        <f t="shared" si="36"/>
        <v>0</v>
      </c>
    </row>
    <row r="100" spans="1:9" ht="15.75" customHeight="1">
      <c r="A100" s="78">
        <f t="shared" si="0"/>
        <v>0</v>
      </c>
      <c r="B100" s="50"/>
      <c r="C100" s="269">
        <f t="shared" ref="C100:I100" si="37">$B100*C47</f>
        <v>0</v>
      </c>
      <c r="D100" s="269">
        <f t="shared" si="37"/>
        <v>0</v>
      </c>
      <c r="E100" s="269">
        <f t="shared" si="37"/>
        <v>0</v>
      </c>
      <c r="F100" s="269">
        <f t="shared" si="37"/>
        <v>0</v>
      </c>
      <c r="G100" s="269">
        <f t="shared" si="37"/>
        <v>0</v>
      </c>
      <c r="H100" s="269">
        <f t="shared" si="37"/>
        <v>0</v>
      </c>
      <c r="I100" s="269">
        <f t="shared" si="37"/>
        <v>0</v>
      </c>
    </row>
    <row r="101" spans="1:9" ht="15.75" customHeight="1">
      <c r="A101" s="78">
        <f t="shared" si="0"/>
        <v>0</v>
      </c>
      <c r="B101" s="50"/>
      <c r="C101" s="269">
        <f t="shared" ref="C101:I101" si="38">$B101*C48</f>
        <v>0</v>
      </c>
      <c r="D101" s="269">
        <f t="shared" si="38"/>
        <v>0</v>
      </c>
      <c r="E101" s="269">
        <f t="shared" si="38"/>
        <v>0</v>
      </c>
      <c r="F101" s="269">
        <f t="shared" si="38"/>
        <v>0</v>
      </c>
      <c r="G101" s="269">
        <f t="shared" si="38"/>
        <v>0</v>
      </c>
      <c r="H101" s="269">
        <f t="shared" si="38"/>
        <v>0</v>
      </c>
      <c r="I101" s="269">
        <f t="shared" si="38"/>
        <v>0</v>
      </c>
    </row>
    <row r="102" spans="1:9" ht="15.75" customHeight="1">
      <c r="A102" s="78">
        <f t="shared" si="0"/>
        <v>0</v>
      </c>
      <c r="B102" s="50"/>
      <c r="C102" s="269">
        <f t="shared" ref="C102:I102" si="39">$B102*C49</f>
        <v>0</v>
      </c>
      <c r="D102" s="269">
        <f t="shared" si="39"/>
        <v>0</v>
      </c>
      <c r="E102" s="269">
        <f t="shared" si="39"/>
        <v>0</v>
      </c>
      <c r="F102" s="269">
        <f t="shared" si="39"/>
        <v>0</v>
      </c>
      <c r="G102" s="269">
        <f t="shared" si="39"/>
        <v>0</v>
      </c>
      <c r="H102" s="269">
        <f t="shared" si="39"/>
        <v>0</v>
      </c>
      <c r="I102" s="269">
        <f t="shared" si="39"/>
        <v>0</v>
      </c>
    </row>
    <row r="103" spans="1:9" ht="15.75" customHeight="1">
      <c r="A103" s="78">
        <f t="shared" si="0"/>
        <v>0</v>
      </c>
      <c r="B103" s="50"/>
      <c r="C103" s="269">
        <f t="shared" ref="C103:I103" si="40">$B103*C50</f>
        <v>0</v>
      </c>
      <c r="D103" s="269">
        <f t="shared" si="40"/>
        <v>0</v>
      </c>
      <c r="E103" s="269">
        <f t="shared" si="40"/>
        <v>0</v>
      </c>
      <c r="F103" s="269">
        <f t="shared" si="40"/>
        <v>0</v>
      </c>
      <c r="G103" s="269">
        <f t="shared" si="40"/>
        <v>0</v>
      </c>
      <c r="H103" s="269">
        <f t="shared" si="40"/>
        <v>0</v>
      </c>
      <c r="I103" s="269">
        <f t="shared" si="40"/>
        <v>0</v>
      </c>
    </row>
    <row r="104" spans="1:9" ht="15.75" customHeight="1">
      <c r="A104" s="78">
        <f t="shared" si="0"/>
        <v>0</v>
      </c>
      <c r="B104" s="50"/>
      <c r="C104" s="269">
        <f t="shared" ref="C104:I104" si="41">$B104*C51</f>
        <v>0</v>
      </c>
      <c r="D104" s="269">
        <f t="shared" si="41"/>
        <v>0</v>
      </c>
      <c r="E104" s="269">
        <f t="shared" si="41"/>
        <v>0</v>
      </c>
      <c r="F104" s="269">
        <f t="shared" si="41"/>
        <v>0</v>
      </c>
      <c r="G104" s="269">
        <f t="shared" si="41"/>
        <v>0</v>
      </c>
      <c r="H104" s="269">
        <f t="shared" si="41"/>
        <v>0</v>
      </c>
      <c r="I104" s="269">
        <f t="shared" si="41"/>
        <v>0</v>
      </c>
    </row>
    <row r="105" spans="1:9" ht="15.75" customHeight="1">
      <c r="A105" s="78">
        <f t="shared" si="0"/>
        <v>0</v>
      </c>
      <c r="B105" s="50"/>
      <c r="C105" s="269">
        <f t="shared" ref="C105:I105" si="42">$B105*C52</f>
        <v>0</v>
      </c>
      <c r="D105" s="269">
        <f t="shared" si="42"/>
        <v>0</v>
      </c>
      <c r="E105" s="269">
        <f t="shared" si="42"/>
        <v>0</v>
      </c>
      <c r="F105" s="269">
        <f t="shared" si="42"/>
        <v>0</v>
      </c>
      <c r="G105" s="269">
        <f t="shared" si="42"/>
        <v>0</v>
      </c>
      <c r="H105" s="269">
        <f t="shared" si="42"/>
        <v>0</v>
      </c>
      <c r="I105" s="269">
        <f t="shared" si="42"/>
        <v>0</v>
      </c>
    </row>
    <row r="106" spans="1:9" ht="15.75" customHeight="1">
      <c r="A106" s="78">
        <f t="shared" si="0"/>
        <v>0</v>
      </c>
      <c r="B106" s="50"/>
      <c r="C106" s="269">
        <f t="shared" ref="C106:I106" si="43">$B106*C53</f>
        <v>0</v>
      </c>
      <c r="D106" s="269">
        <f t="shared" si="43"/>
        <v>0</v>
      </c>
      <c r="E106" s="269">
        <f t="shared" si="43"/>
        <v>0</v>
      </c>
      <c r="F106" s="269">
        <f t="shared" si="43"/>
        <v>0</v>
      </c>
      <c r="G106" s="269">
        <f t="shared" si="43"/>
        <v>0</v>
      </c>
      <c r="H106" s="269">
        <f t="shared" si="43"/>
        <v>0</v>
      </c>
      <c r="I106" s="269">
        <f t="shared" si="43"/>
        <v>0</v>
      </c>
    </row>
    <row r="107" spans="1:9" ht="15.75" customHeight="1">
      <c r="A107" s="78" t="str">
        <f t="shared" si="0"/>
        <v>Pomegranate</v>
      </c>
      <c r="B107" s="50"/>
      <c r="C107" s="269">
        <f t="shared" ref="C107:I107" si="44">$B107*C54</f>
        <v>0</v>
      </c>
      <c r="D107" s="269">
        <f t="shared" si="44"/>
        <v>0</v>
      </c>
      <c r="E107" s="269">
        <f t="shared" si="44"/>
        <v>0</v>
      </c>
      <c r="F107" s="269">
        <f t="shared" si="44"/>
        <v>0</v>
      </c>
      <c r="G107" s="269">
        <f t="shared" si="44"/>
        <v>0</v>
      </c>
      <c r="H107" s="269">
        <f t="shared" si="44"/>
        <v>0</v>
      </c>
      <c r="I107" s="269">
        <f t="shared" si="44"/>
        <v>0</v>
      </c>
    </row>
    <row r="108" spans="1:9" ht="15.75" customHeight="1">
      <c r="A108" s="78" t="str">
        <f t="shared" si="0"/>
        <v>Custard Apple</v>
      </c>
      <c r="B108" s="50"/>
      <c r="C108" s="269">
        <f t="shared" ref="C108:I108" si="45">$B108*C55</f>
        <v>0</v>
      </c>
      <c r="D108" s="269">
        <f t="shared" si="45"/>
        <v>0</v>
      </c>
      <c r="E108" s="269">
        <f t="shared" si="45"/>
        <v>0</v>
      </c>
      <c r="F108" s="269">
        <f t="shared" si="45"/>
        <v>0</v>
      </c>
      <c r="G108" s="269">
        <f t="shared" si="45"/>
        <v>0</v>
      </c>
      <c r="H108" s="269">
        <f t="shared" si="45"/>
        <v>0</v>
      </c>
      <c r="I108" s="269">
        <f t="shared" si="45"/>
        <v>0</v>
      </c>
    </row>
    <row r="109" spans="1:9" ht="15.75" customHeight="1">
      <c r="A109" s="78" t="str">
        <f t="shared" si="0"/>
        <v>Guava</v>
      </c>
      <c r="B109" s="50"/>
      <c r="C109" s="269">
        <f t="shared" ref="C109:I109" si="46">$B109*C56</f>
        <v>0</v>
      </c>
      <c r="D109" s="269">
        <f t="shared" si="46"/>
        <v>0</v>
      </c>
      <c r="E109" s="269">
        <f t="shared" si="46"/>
        <v>0</v>
      </c>
      <c r="F109" s="269">
        <f t="shared" si="46"/>
        <v>0</v>
      </c>
      <c r="G109" s="269">
        <f t="shared" si="46"/>
        <v>0</v>
      </c>
      <c r="H109" s="269">
        <f t="shared" si="46"/>
        <v>0</v>
      </c>
      <c r="I109" s="269">
        <f t="shared" si="46"/>
        <v>0</v>
      </c>
    </row>
    <row r="110" spans="1:9" ht="15.75" customHeight="1">
      <c r="A110" s="78" t="str">
        <f t="shared" si="0"/>
        <v>Citrus</v>
      </c>
      <c r="B110" s="50"/>
      <c r="C110" s="269">
        <f t="shared" ref="C110:I110" si="47">$B110*C57</f>
        <v>0</v>
      </c>
      <c r="D110" s="269">
        <f t="shared" si="47"/>
        <v>0</v>
      </c>
      <c r="E110" s="269">
        <f t="shared" si="47"/>
        <v>0</v>
      </c>
      <c r="F110" s="269">
        <f t="shared" si="47"/>
        <v>0</v>
      </c>
      <c r="G110" s="269">
        <f t="shared" si="47"/>
        <v>0</v>
      </c>
      <c r="H110" s="269">
        <f t="shared" si="47"/>
        <v>0</v>
      </c>
      <c r="I110" s="269">
        <f t="shared" si="47"/>
        <v>0</v>
      </c>
    </row>
    <row r="111" spans="1:9" ht="15.75" customHeight="1">
      <c r="A111" s="78"/>
      <c r="B111" s="50"/>
      <c r="C111" s="269"/>
      <c r="D111" s="269"/>
      <c r="E111" s="269"/>
      <c r="F111" s="269"/>
      <c r="G111" s="269"/>
      <c r="H111" s="269"/>
      <c r="I111" s="269"/>
    </row>
    <row r="112" spans="1:9" ht="15.75" customHeight="1">
      <c r="A112" s="78"/>
      <c r="B112" s="50"/>
      <c r="C112" s="269"/>
      <c r="D112" s="269"/>
      <c r="E112" s="269"/>
      <c r="F112" s="269"/>
      <c r="G112" s="269"/>
      <c r="H112" s="269"/>
      <c r="I112" s="269"/>
    </row>
    <row r="113" spans="1:23" ht="15.75" customHeight="1">
      <c r="A113" s="81" t="s">
        <v>656</v>
      </c>
      <c r="B113" s="78"/>
      <c r="C113" s="78"/>
      <c r="D113" s="78"/>
      <c r="E113" s="78"/>
      <c r="F113" s="78"/>
      <c r="G113" s="78"/>
      <c r="H113" s="78"/>
      <c r="I113" s="78"/>
    </row>
    <row r="114" spans="1:23" ht="15.75" customHeight="1">
      <c r="A114" s="78" t="s">
        <v>657</v>
      </c>
      <c r="B114" s="50">
        <v>100</v>
      </c>
      <c r="C114" s="269">
        <f t="shared" ref="C114:I114" si="48">SUM(C62:C110)*$B$114</f>
        <v>0</v>
      </c>
      <c r="D114" s="269">
        <f t="shared" si="48"/>
        <v>0</v>
      </c>
      <c r="E114" s="269">
        <f t="shared" si="48"/>
        <v>0</v>
      </c>
      <c r="F114" s="269">
        <f t="shared" si="48"/>
        <v>0</v>
      </c>
      <c r="G114" s="269">
        <f t="shared" si="48"/>
        <v>0</v>
      </c>
      <c r="H114" s="269">
        <f t="shared" si="48"/>
        <v>0</v>
      </c>
      <c r="I114" s="269">
        <f t="shared" si="48"/>
        <v>0</v>
      </c>
    </row>
    <row r="115" spans="1:23" ht="15.75" customHeight="1">
      <c r="A115" s="78" t="s">
        <v>658</v>
      </c>
      <c r="B115" s="50">
        <v>30</v>
      </c>
      <c r="C115" s="269">
        <f t="shared" ref="C115:I115" si="49">SUM(C62:C110)*$B$115</f>
        <v>0</v>
      </c>
      <c r="D115" s="269">
        <f t="shared" si="49"/>
        <v>0</v>
      </c>
      <c r="E115" s="269">
        <f t="shared" si="49"/>
        <v>0</v>
      </c>
      <c r="F115" s="269">
        <f t="shared" si="49"/>
        <v>0</v>
      </c>
      <c r="G115" s="269">
        <f t="shared" si="49"/>
        <v>0</v>
      </c>
      <c r="H115" s="269">
        <f t="shared" si="49"/>
        <v>0</v>
      </c>
      <c r="I115" s="269">
        <f t="shared" si="49"/>
        <v>0</v>
      </c>
    </row>
    <row r="116" spans="1:23" ht="15.75" customHeight="1">
      <c r="A116" s="78" t="s">
        <v>659</v>
      </c>
      <c r="B116" s="50">
        <v>30</v>
      </c>
      <c r="C116" s="269">
        <f t="shared" ref="C116:I116" si="50">SUM(C62:C110)*$B$116</f>
        <v>0</v>
      </c>
      <c r="D116" s="269">
        <f t="shared" si="50"/>
        <v>0</v>
      </c>
      <c r="E116" s="269">
        <f t="shared" si="50"/>
        <v>0</v>
      </c>
      <c r="F116" s="269">
        <f t="shared" si="50"/>
        <v>0</v>
      </c>
      <c r="G116" s="269">
        <f t="shared" si="50"/>
        <v>0</v>
      </c>
      <c r="H116" s="269">
        <f t="shared" si="50"/>
        <v>0</v>
      </c>
      <c r="I116" s="269">
        <f t="shared" si="50"/>
        <v>0</v>
      </c>
    </row>
    <row r="117" spans="1:23" ht="15.75" customHeight="1">
      <c r="A117" s="81" t="s">
        <v>660</v>
      </c>
      <c r="B117" s="50"/>
      <c r="C117" s="78"/>
      <c r="D117" s="78"/>
      <c r="E117" s="78"/>
      <c r="F117" s="78"/>
      <c r="G117" s="78"/>
      <c r="H117" s="78"/>
      <c r="I117" s="78"/>
    </row>
    <row r="118" spans="1:23" ht="15.75" customHeight="1">
      <c r="A118" s="78" t="s">
        <v>661</v>
      </c>
      <c r="B118" s="50">
        <v>0.02</v>
      </c>
      <c r="C118" s="269">
        <f t="shared" ref="C118:I118" si="51">SUM(C62:C110)*$B$118</f>
        <v>0</v>
      </c>
      <c r="D118" s="269">
        <f t="shared" si="51"/>
        <v>0</v>
      </c>
      <c r="E118" s="269">
        <f t="shared" si="51"/>
        <v>0</v>
      </c>
      <c r="F118" s="269">
        <f t="shared" si="51"/>
        <v>0</v>
      </c>
      <c r="G118" s="269">
        <f t="shared" si="51"/>
        <v>0</v>
      </c>
      <c r="H118" s="269">
        <f t="shared" si="51"/>
        <v>0</v>
      </c>
      <c r="I118" s="269">
        <f t="shared" si="51"/>
        <v>0</v>
      </c>
    </row>
    <row r="119" spans="1:23" ht="15.75" customHeight="1">
      <c r="A119" s="78" t="s">
        <v>662</v>
      </c>
      <c r="B119" s="50">
        <v>0.05</v>
      </c>
      <c r="C119" s="269">
        <f t="shared" ref="C119:I119" si="52">SUM(C62:C110)*$B$119</f>
        <v>0</v>
      </c>
      <c r="D119" s="269">
        <f t="shared" si="52"/>
        <v>0</v>
      </c>
      <c r="E119" s="269">
        <f t="shared" si="52"/>
        <v>0</v>
      </c>
      <c r="F119" s="269">
        <f t="shared" si="52"/>
        <v>0</v>
      </c>
      <c r="G119" s="269">
        <f t="shared" si="52"/>
        <v>0</v>
      </c>
      <c r="H119" s="269">
        <f t="shared" si="52"/>
        <v>0</v>
      </c>
      <c r="I119" s="269">
        <f t="shared" si="52"/>
        <v>0</v>
      </c>
    </row>
    <row r="120" spans="1:23" ht="15.75" customHeight="1"/>
    <row r="121" spans="1:23" ht="15.75" customHeight="1"/>
    <row r="122" spans="1:23" ht="15.75" customHeight="1">
      <c r="A122" s="340" t="s">
        <v>663</v>
      </c>
      <c r="B122" s="324"/>
      <c r="C122" s="324"/>
      <c r="D122" s="324"/>
      <c r="E122" s="324"/>
      <c r="F122" s="324"/>
      <c r="G122" s="324"/>
      <c r="H122" s="324"/>
      <c r="I122" s="324"/>
      <c r="J122" s="324"/>
    </row>
    <row r="123" spans="1:23" ht="15.75" customHeight="1">
      <c r="A123" s="26"/>
      <c r="B123" s="26"/>
      <c r="C123" s="26"/>
      <c r="D123" s="26"/>
      <c r="E123" s="26"/>
      <c r="F123" s="26"/>
      <c r="G123" s="26"/>
      <c r="H123" s="26"/>
    </row>
    <row r="124" spans="1:23" s="302" customFormat="1" ht="15.75" customHeight="1">
      <c r="A124" s="298"/>
      <c r="B124" s="298"/>
      <c r="C124" s="298"/>
      <c r="D124" s="299">
        <v>1</v>
      </c>
      <c r="E124" s="300">
        <f t="shared" ref="E124:J124" si="53">(D124*5%)+D124</f>
        <v>1.05</v>
      </c>
      <c r="F124" s="300">
        <f t="shared" si="53"/>
        <v>1.1025</v>
      </c>
      <c r="G124" s="300">
        <f t="shared" si="53"/>
        <v>1.1576250000000001</v>
      </c>
      <c r="H124" s="300">
        <f t="shared" si="53"/>
        <v>1.2155062500000002</v>
      </c>
      <c r="I124" s="300">
        <f t="shared" si="53"/>
        <v>1.2762815625000004</v>
      </c>
      <c r="J124" s="300">
        <f t="shared" si="53"/>
        <v>1.3400956406250004</v>
      </c>
      <c r="K124" s="301"/>
      <c r="U124" s="301"/>
      <c r="V124" s="301"/>
      <c r="W124" s="301"/>
    </row>
    <row r="125" spans="1:23" ht="15.75" customHeight="1">
      <c r="A125" s="73"/>
      <c r="B125" s="73"/>
      <c r="C125" s="73"/>
      <c r="D125" s="73"/>
      <c r="E125" s="73"/>
      <c r="F125" s="73"/>
      <c r="G125" s="73"/>
      <c r="H125" s="73"/>
      <c r="I125" s="73"/>
      <c r="J125" s="73"/>
      <c r="K125" s="73"/>
      <c r="U125" s="73"/>
      <c r="V125" s="73"/>
      <c r="W125" s="73"/>
    </row>
    <row r="126" spans="1:23" ht="15.75" customHeight="1">
      <c r="A126" s="76" t="s">
        <v>142</v>
      </c>
      <c r="B126" s="76" t="s">
        <v>116</v>
      </c>
      <c r="C126" s="76" t="s">
        <v>126</v>
      </c>
      <c r="D126" s="77" t="s">
        <v>145</v>
      </c>
      <c r="E126" s="77" t="s">
        <v>146</v>
      </c>
      <c r="F126" s="77" t="s">
        <v>147</v>
      </c>
      <c r="G126" s="77" t="s">
        <v>148</v>
      </c>
      <c r="H126" s="77" t="s">
        <v>149</v>
      </c>
      <c r="I126" s="77" t="s">
        <v>150</v>
      </c>
      <c r="J126" s="77" t="s">
        <v>151</v>
      </c>
      <c r="K126" s="73"/>
      <c r="U126" s="73"/>
      <c r="V126" s="73"/>
      <c r="W126" s="73"/>
    </row>
    <row r="127" spans="1:23" ht="15.75" customHeight="1">
      <c r="A127" s="81" t="s">
        <v>339</v>
      </c>
      <c r="B127" s="78"/>
      <c r="C127" s="78"/>
      <c r="D127" s="78"/>
      <c r="E127" s="78"/>
      <c r="F127" s="78"/>
      <c r="G127" s="78"/>
      <c r="H127" s="78"/>
      <c r="I127" s="78"/>
      <c r="J127" s="78"/>
      <c r="K127" s="73"/>
      <c r="U127" s="73"/>
      <c r="V127" s="73"/>
      <c r="W127" s="73"/>
    </row>
    <row r="128" spans="1:23" ht="15.75" customHeight="1">
      <c r="A128" s="78" t="s">
        <v>664</v>
      </c>
      <c r="B128" s="78"/>
      <c r="C128" s="78"/>
      <c r="D128" s="78"/>
      <c r="E128" s="78"/>
      <c r="F128" s="78"/>
      <c r="G128" s="78"/>
      <c r="H128" s="78"/>
      <c r="I128" s="78"/>
      <c r="J128" s="78"/>
      <c r="K128" s="73"/>
      <c r="U128" s="73"/>
      <c r="V128" s="73"/>
      <c r="W128" s="73"/>
    </row>
    <row r="129" spans="1:23" ht="15.75" customHeight="1">
      <c r="A129" s="81" t="str">
        <f t="shared" ref="A129:A179" si="54">A8</f>
        <v>Kharif Crops</v>
      </c>
      <c r="B129" s="78"/>
      <c r="C129" s="78"/>
      <c r="D129" s="78"/>
      <c r="E129" s="78"/>
      <c r="F129" s="78"/>
      <c r="G129" s="78"/>
      <c r="H129" s="78"/>
      <c r="I129" s="78"/>
      <c r="J129" s="78"/>
      <c r="K129" s="73"/>
      <c r="U129" s="73"/>
      <c r="V129" s="73"/>
      <c r="W129" s="73"/>
    </row>
    <row r="130" spans="1:23" ht="15.75" customHeight="1">
      <c r="A130" s="78" t="str">
        <f t="shared" si="54"/>
        <v>Soybean</v>
      </c>
      <c r="B130" s="78"/>
      <c r="C130" s="50">
        <v>90</v>
      </c>
      <c r="D130" s="80">
        <f>(C62*(1-'5.Closing Stock &amp; W Capital'!$D$15))*$C$130*D$124</f>
        <v>0</v>
      </c>
      <c r="E130" s="80">
        <f>(D62*(1-'5.Closing Stock &amp; W Capital'!$D$15))*$C$130*E$124</f>
        <v>0</v>
      </c>
      <c r="F130" s="80">
        <f>(E62*(1-'5.Closing Stock &amp; W Capital'!$D$15))*$C$130*F$124</f>
        <v>0</v>
      </c>
      <c r="G130" s="80">
        <f>(F62*(1-'5.Closing Stock &amp; W Capital'!$D$15))*$C$130*G$124</f>
        <v>0</v>
      </c>
      <c r="H130" s="80">
        <f>(G62*(1-'5.Closing Stock &amp; W Capital'!$D$15))*$C$130*H$124</f>
        <v>0</v>
      </c>
      <c r="I130" s="80">
        <f>(H62*(1-'5.Closing Stock &amp; W Capital'!$D$15))*$C$130*I$124</f>
        <v>0</v>
      </c>
      <c r="J130" s="80">
        <f>(I62*(1-'5.Closing Stock &amp; W Capital'!$D$15))*$C$130*J$124</f>
        <v>0</v>
      </c>
      <c r="K130" s="73"/>
      <c r="U130" s="73"/>
      <c r="V130" s="73"/>
      <c r="W130" s="73"/>
    </row>
    <row r="131" spans="1:23" ht="15.75" customHeight="1">
      <c r="A131" s="78" t="str">
        <f t="shared" si="54"/>
        <v>Red Gram/Tur</v>
      </c>
      <c r="B131" s="78"/>
      <c r="C131" s="79">
        <v>100</v>
      </c>
      <c r="D131" s="80">
        <f>(C63*(1-'5.Closing Stock &amp; W Capital'!$D$15))*$C$131*D$124</f>
        <v>0</v>
      </c>
      <c r="E131" s="80">
        <f>((D63*(1-'5.Closing Stock &amp; W Capital'!$D$15))+(C63*'5.Closing Stock &amp; W Capital'!$D$15))*$C$131*E$124</f>
        <v>0</v>
      </c>
      <c r="F131" s="80">
        <f>((E63*(1-'5.Closing Stock &amp; W Capital'!$D$15))+(D63*'5.Closing Stock &amp; W Capital'!$D$15))*$C$131*F$124</f>
        <v>0</v>
      </c>
      <c r="G131" s="80">
        <f>((F63*(1-'5.Closing Stock &amp; W Capital'!$D$15))+(E63*'5.Closing Stock &amp; W Capital'!$D$15))*$C$131*G124</f>
        <v>0</v>
      </c>
      <c r="H131" s="80">
        <f>((G63*(1-'5.Closing Stock &amp; W Capital'!$D$15))+(F63*'5.Closing Stock &amp; W Capital'!$D$15))*$C$131*H124</f>
        <v>0</v>
      </c>
      <c r="I131" s="80">
        <f>((H63*(1-'5.Closing Stock &amp; W Capital'!$D$15))+(G63*'5.Closing Stock &amp; W Capital'!$D$15))*$C$131*I124</f>
        <v>0</v>
      </c>
      <c r="J131" s="80">
        <f>((I63*(1-'5.Closing Stock &amp; W Capital'!$D$15))+(H63*'5.Closing Stock &amp; W Capital'!$D$15))*$C$131*J124</f>
        <v>0</v>
      </c>
      <c r="K131" s="73"/>
      <c r="U131" s="74"/>
      <c r="V131" s="73"/>
      <c r="W131" s="73"/>
    </row>
    <row r="132" spans="1:23" ht="15.75" customHeight="1">
      <c r="A132" s="78" t="str">
        <f t="shared" si="54"/>
        <v>Paddy/Rice</v>
      </c>
      <c r="B132" s="78"/>
      <c r="C132" s="79">
        <v>65</v>
      </c>
      <c r="D132" s="80">
        <f>(C64*(1-'5.Closing Stock &amp; W Capital'!$D$15))*$C$132*D$124</f>
        <v>0</v>
      </c>
      <c r="E132" s="80">
        <f>((D64*(1-'5.Closing Stock &amp; W Capital'!$D$15))+(C64*'5.Closing Stock &amp; W Capital'!$D$15))*$C$132*E$124</f>
        <v>0</v>
      </c>
      <c r="F132" s="80">
        <f>((E64*(1-'5.Closing Stock &amp; W Capital'!$D$15))+(D64*'5.Closing Stock &amp; W Capital'!$D$15))*$C$132*F$124</f>
        <v>0</v>
      </c>
      <c r="G132" s="80">
        <f>((F64*(1-'5.Closing Stock &amp; W Capital'!$D$15))+(E64*'5.Closing Stock &amp; W Capital'!$D$15))*$C$132*G124</f>
        <v>0</v>
      </c>
      <c r="H132" s="80">
        <f>((G64*(1-'5.Closing Stock &amp; W Capital'!$D$15))+(F64*'5.Closing Stock &amp; W Capital'!$D$15))*$C$132*H124</f>
        <v>0</v>
      </c>
      <c r="I132" s="80">
        <f>((H64*(1-'5.Closing Stock &amp; W Capital'!$D$15))+(G64*'5.Closing Stock &amp; W Capital'!$D$15))*$C$132*I124</f>
        <v>0</v>
      </c>
      <c r="J132" s="80">
        <f>((I64*(1-'5.Closing Stock &amp; W Capital'!$D$15))+(H64*'5.Closing Stock &amp; W Capital'!$D$15))*$C$132*J124</f>
        <v>0</v>
      </c>
      <c r="K132" s="73"/>
      <c r="U132" s="73"/>
      <c r="V132" s="73"/>
      <c r="W132" s="73"/>
    </row>
    <row r="133" spans="1:23" ht="15.75" customHeight="1">
      <c r="A133" s="78" t="str">
        <f t="shared" si="54"/>
        <v>Green Gram/ Moong</v>
      </c>
      <c r="B133" s="78"/>
      <c r="C133" s="79">
        <v>110</v>
      </c>
      <c r="D133" s="80">
        <f>(C65*(1-'5.Closing Stock &amp; W Capital'!$D$15))*$C$133*D$124</f>
        <v>0</v>
      </c>
      <c r="E133" s="80">
        <f>((D65*(1-'5.Closing Stock &amp; W Capital'!$D$15))+(C65*'5.Closing Stock &amp; W Capital'!$D$15))*$C$133*E$124</f>
        <v>0</v>
      </c>
      <c r="F133" s="80">
        <f>((E65*(1-'5.Closing Stock &amp; W Capital'!$D$15))+(D65*'5.Closing Stock &amp; W Capital'!$D$15))*$C$133*F$124</f>
        <v>0</v>
      </c>
      <c r="G133" s="80">
        <f>((F65*(1-'5.Closing Stock &amp; W Capital'!$D$15))+(E65*'5.Closing Stock &amp; W Capital'!$D$15))*$C$133*G$124</f>
        <v>0</v>
      </c>
      <c r="H133" s="80">
        <f>((G65*(1-'5.Closing Stock &amp; W Capital'!$D$15))+(F65*'5.Closing Stock &amp; W Capital'!$D$15))*$C$133*H$124</f>
        <v>0</v>
      </c>
      <c r="I133" s="80">
        <f>((H65*(1-'5.Closing Stock &amp; W Capital'!$D$15))+(G65*'5.Closing Stock &amp; W Capital'!$D$15))*$C$133*I$124</f>
        <v>0</v>
      </c>
      <c r="J133" s="80">
        <f>((I65*(1-'5.Closing Stock &amp; W Capital'!$D$15))+(H65*'5.Closing Stock &amp; W Capital'!$D$15))*$C$133*J$124</f>
        <v>0</v>
      </c>
      <c r="K133" s="73"/>
      <c r="U133" s="73"/>
      <c r="V133" s="73"/>
      <c r="W133" s="73"/>
    </row>
    <row r="134" spans="1:23" ht="15.75" customHeight="1">
      <c r="A134" s="78" t="str">
        <f t="shared" si="54"/>
        <v>Maize</v>
      </c>
      <c r="B134" s="78"/>
      <c r="C134" s="79">
        <v>0</v>
      </c>
      <c r="D134" s="80">
        <f>(C66*(1-'5.Closing Stock &amp; W Capital'!$D$15))*$C$134*D$124</f>
        <v>0</v>
      </c>
      <c r="E134" s="80">
        <f>((D66*(1-'5.Closing Stock &amp; W Capital'!$D$15))+(C66*'5.Closing Stock &amp; W Capital'!$D$15))*$C$135*E$124</f>
        <v>0</v>
      </c>
      <c r="F134" s="80">
        <f>((E66*(1-'5.Closing Stock &amp; W Capital'!$D$15))+(D66*'5.Closing Stock &amp; W Capital'!$D$15))*$C$135*F$124</f>
        <v>0</v>
      </c>
      <c r="G134" s="80">
        <f>((F66*(1-'5.Closing Stock &amp; W Capital'!$D$15))+(E66*'5.Closing Stock &amp; W Capital'!$D$15))*$C$135*G$124</f>
        <v>0</v>
      </c>
      <c r="H134" s="80">
        <f>((G66*(1-'5.Closing Stock &amp; W Capital'!$D$15))+(F66*'5.Closing Stock &amp; W Capital'!$D$15))*$C$135*H$124</f>
        <v>0</v>
      </c>
      <c r="I134" s="80">
        <f>((H66*(1-'5.Closing Stock &amp; W Capital'!$D$15))+(G66*'5.Closing Stock &amp; W Capital'!$D$15))*$C$135*I$124</f>
        <v>0</v>
      </c>
      <c r="J134" s="80">
        <f>((I66*(1-'5.Closing Stock &amp; W Capital'!$D$15))+(H66*'5.Closing Stock &amp; W Capital'!$D$15))*$C$135*J$124</f>
        <v>0</v>
      </c>
      <c r="K134" s="73"/>
      <c r="U134" s="73"/>
      <c r="V134" s="73"/>
      <c r="W134" s="73"/>
    </row>
    <row r="135" spans="1:23" ht="15.75" customHeight="1">
      <c r="A135" s="78" t="str">
        <f t="shared" si="54"/>
        <v>Black Gram/Udid</v>
      </c>
      <c r="B135" s="78"/>
      <c r="C135" s="79">
        <v>0</v>
      </c>
      <c r="D135" s="80">
        <f>(C67*(1-'5.Closing Stock &amp; W Capital'!$D$15))*$C$135*D$124</f>
        <v>0</v>
      </c>
      <c r="E135" s="80">
        <f>((D67*(1-'5.Closing Stock &amp; W Capital'!$D$15))+(C67*'5.Closing Stock &amp; W Capital'!$D$15))*$C$135*E$124</f>
        <v>0</v>
      </c>
      <c r="F135" s="80">
        <f>((E67*(1-'5.Closing Stock &amp; W Capital'!$D$15))+(D67*'5.Closing Stock &amp; W Capital'!$D$15))*$C$135*F$124</f>
        <v>0</v>
      </c>
      <c r="G135" s="80">
        <f>((F67*(1-'5.Closing Stock &amp; W Capital'!$D$15))+(E67*'5.Closing Stock &amp; W Capital'!$D$15))*$C$135*G$124</f>
        <v>0</v>
      </c>
      <c r="H135" s="80">
        <f>((G67*(1-'5.Closing Stock &amp; W Capital'!$D$15))+(F67*'5.Closing Stock &amp; W Capital'!$D$15))*$C$135*H$124</f>
        <v>0</v>
      </c>
      <c r="I135" s="80">
        <f>((H67*(1-'5.Closing Stock &amp; W Capital'!$D$15))+(G67*'5.Closing Stock &amp; W Capital'!$D$15))*$C$135*I$124</f>
        <v>0</v>
      </c>
      <c r="J135" s="80">
        <f>((I67*(1-'5.Closing Stock &amp; W Capital'!$D$15))+(H67*'5.Closing Stock &amp; W Capital'!$D$15))*$C$135*J$124</f>
        <v>0</v>
      </c>
      <c r="K135" s="73"/>
      <c r="U135" s="73"/>
      <c r="V135" s="73"/>
      <c r="W135" s="73"/>
    </row>
    <row r="136" spans="1:23" ht="15.75" customHeight="1">
      <c r="A136" s="78" t="str">
        <f t="shared" si="54"/>
        <v>Bajra</v>
      </c>
      <c r="B136" s="78"/>
      <c r="C136" s="79">
        <v>0</v>
      </c>
      <c r="D136" s="80">
        <f>(C68*(1-'5.Closing Stock &amp; W Capital'!$D$15))*$C$136*D$124</f>
        <v>0</v>
      </c>
      <c r="E136" s="80">
        <f>((D68*(1-'5.Closing Stock &amp; W Capital'!$D$15))+(C68*'5.Closing Stock &amp; W Capital'!$D$15))*$C$136*E$124</f>
        <v>0</v>
      </c>
      <c r="F136" s="80">
        <f>((E68*(1-'5.Closing Stock &amp; W Capital'!$D$15))+(D68*'5.Closing Stock &amp; W Capital'!$D$15))*$C$136*F$124</f>
        <v>0</v>
      </c>
      <c r="G136" s="80">
        <f>((F68*(1-'5.Closing Stock &amp; W Capital'!$D$15))+(E68*'5.Closing Stock &amp; W Capital'!$D$15))*$C$136*G$124</f>
        <v>0</v>
      </c>
      <c r="H136" s="80">
        <f>((G68*(1-'5.Closing Stock &amp; W Capital'!$D$15))+(F68*'5.Closing Stock &amp; W Capital'!$D$15))*$C$136*H$124</f>
        <v>0</v>
      </c>
      <c r="I136" s="80">
        <f>((H68*(1-'5.Closing Stock &amp; W Capital'!$D$15))+(G68*'5.Closing Stock &amp; W Capital'!$D$15))*$C$136*I$124</f>
        <v>0</v>
      </c>
      <c r="J136" s="80">
        <f>((I68*(1-'5.Closing Stock &amp; W Capital'!$D$15))+(H68*'5.Closing Stock &amp; W Capital'!$D$15))*$C$136*J$124</f>
        <v>0</v>
      </c>
      <c r="K136" s="73"/>
      <c r="U136" s="73"/>
      <c r="V136" s="73"/>
      <c r="W136" s="73"/>
    </row>
    <row r="137" spans="1:23" ht="15.75" customHeight="1">
      <c r="A137" s="78" t="str">
        <f t="shared" si="54"/>
        <v>Jawar</v>
      </c>
      <c r="B137" s="78"/>
      <c r="C137" s="79">
        <v>0</v>
      </c>
      <c r="D137" s="80">
        <f>(C69*(1-'5.Closing Stock &amp; W Capital'!$D$15))*$C$137*D$124</f>
        <v>0</v>
      </c>
      <c r="E137" s="80">
        <f>((D69*(1-'5.Closing Stock &amp; W Capital'!$D$15))+(C69*'5.Closing Stock &amp; W Capital'!$D$15))*$C$137*E$124</f>
        <v>0</v>
      </c>
      <c r="F137" s="80">
        <f>((E69*(1-'5.Closing Stock &amp; W Capital'!$D$15))+(D69*'5.Closing Stock &amp; W Capital'!$D$15))*$C$137*F$124</f>
        <v>0</v>
      </c>
      <c r="G137" s="80">
        <f>((F69*(1-'5.Closing Stock &amp; W Capital'!$D$15))+(E69*'5.Closing Stock &amp; W Capital'!$D$15))*$C$137*G$124</f>
        <v>0</v>
      </c>
      <c r="H137" s="80">
        <f>((G69*(1-'5.Closing Stock &amp; W Capital'!$D$15))+(F69*'5.Closing Stock &amp; W Capital'!$D$15))*$C$137*H$124</f>
        <v>0</v>
      </c>
      <c r="I137" s="80">
        <f>((H69*(1-'5.Closing Stock &amp; W Capital'!$D$15))+(G69*'5.Closing Stock &amp; W Capital'!$D$15))*$C$137*I$124</f>
        <v>0</v>
      </c>
      <c r="J137" s="80">
        <f>((I69*(1-'5.Closing Stock &amp; W Capital'!$D$15))+(H69*'5.Closing Stock &amp; W Capital'!$D$15))*$C$137*J$124</f>
        <v>0</v>
      </c>
      <c r="K137" s="73"/>
      <c r="U137" s="73"/>
      <c r="V137" s="73"/>
      <c r="W137" s="73"/>
    </row>
    <row r="138" spans="1:23" ht="15.75" customHeight="1">
      <c r="A138" s="81" t="str">
        <f t="shared" si="54"/>
        <v>Rabi Crop</v>
      </c>
      <c r="B138" s="78"/>
      <c r="C138" s="79"/>
      <c r="D138" s="80"/>
      <c r="E138" s="80"/>
      <c r="F138" s="80"/>
      <c r="G138" s="80"/>
      <c r="H138" s="80"/>
      <c r="I138" s="80"/>
      <c r="J138" s="80"/>
      <c r="K138" s="73"/>
      <c r="U138" s="73"/>
      <c r="V138" s="73"/>
      <c r="W138" s="73"/>
    </row>
    <row r="139" spans="1:23" ht="15.75" customHeight="1">
      <c r="A139" s="78" t="str">
        <f t="shared" si="54"/>
        <v>Wheat</v>
      </c>
      <c r="B139" s="78"/>
      <c r="C139" s="79">
        <v>30</v>
      </c>
      <c r="D139" s="80">
        <f>(C71*(1-'5.Closing Stock &amp; W Capital'!$D$15))*$C$139*D$124</f>
        <v>0</v>
      </c>
      <c r="E139" s="80">
        <f>((D71*(1-'5.Closing Stock &amp; W Capital'!$D$15))+(C71*'5.Closing Stock &amp; W Capital'!$D$15))*$C$139*E$124</f>
        <v>0</v>
      </c>
      <c r="F139" s="80">
        <f>((E71*(1-'5.Closing Stock &amp; W Capital'!$D$15))+(D71*'5.Closing Stock &amp; W Capital'!$D$15))*$C$139*F$124</f>
        <v>0</v>
      </c>
      <c r="G139" s="80">
        <f>((F71*(1-'5.Closing Stock &amp; W Capital'!$D$15))+(E71*'5.Closing Stock &amp; W Capital'!$D$15))*$C$139*G$124</f>
        <v>0</v>
      </c>
      <c r="H139" s="80">
        <f>((G71*(1-'5.Closing Stock &amp; W Capital'!$D$15))+(F71*'5.Closing Stock &amp; W Capital'!$D$15))*$C$139*H$124</f>
        <v>0</v>
      </c>
      <c r="I139" s="80">
        <f>((H71*(1-'5.Closing Stock &amp; W Capital'!$D$15))+(G71*'5.Closing Stock &amp; W Capital'!$D$15))*$C$139*I$124</f>
        <v>0</v>
      </c>
      <c r="J139" s="80">
        <f>((I71*(1-'5.Closing Stock &amp; W Capital'!$D$15))+(H71*'5.Closing Stock &amp; W Capital'!$D$15))*$C$139*J$124</f>
        <v>0</v>
      </c>
      <c r="K139" s="73"/>
      <c r="U139" s="73"/>
      <c r="V139" s="73"/>
      <c r="W139" s="73"/>
    </row>
    <row r="140" spans="1:23" ht="15.75" customHeight="1">
      <c r="A140" s="78" t="str">
        <f t="shared" si="54"/>
        <v>Bengal Gram/Channa</v>
      </c>
      <c r="B140" s="78"/>
      <c r="C140" s="79">
        <v>85</v>
      </c>
      <c r="D140" s="80">
        <f>(C72*(1-'5.Closing Stock &amp; W Capital'!$D$15))*$C$140*D$124</f>
        <v>0</v>
      </c>
      <c r="E140" s="80">
        <f>((D72*(1-'5.Closing Stock &amp; W Capital'!$D$15))+(C72*'5.Closing Stock &amp; W Capital'!$D$15))*$C$140*E$124</f>
        <v>0</v>
      </c>
      <c r="F140" s="80">
        <f>((E72*(1-'5.Closing Stock &amp; W Capital'!$D$15))+(D72*'5.Closing Stock &amp; W Capital'!$D$15))*$C$140*F$124</f>
        <v>0</v>
      </c>
      <c r="G140" s="80">
        <f>((F72*(1-'5.Closing Stock &amp; W Capital'!$D$15))+(E72*'5.Closing Stock &amp; W Capital'!$D$15))*$C$140*G$124</f>
        <v>0</v>
      </c>
      <c r="H140" s="80">
        <f>((G72*(1-'5.Closing Stock &amp; W Capital'!$D$15))+(F72*'5.Closing Stock &amp; W Capital'!$D$15))*$C$140*H$124</f>
        <v>0</v>
      </c>
      <c r="I140" s="80">
        <f>((H72*(1-'5.Closing Stock &amp; W Capital'!$D$15))+(G72*'5.Closing Stock &amp; W Capital'!$D$15))*$C$140*I$124</f>
        <v>0</v>
      </c>
      <c r="J140" s="80">
        <f>((I72*(1-'5.Closing Stock &amp; W Capital'!$D$15))+(H72*'5.Closing Stock &amp; W Capital'!$D$15))*$C$140*J$124</f>
        <v>0</v>
      </c>
      <c r="K140" s="73"/>
      <c r="U140" s="73"/>
      <c r="V140" s="73"/>
      <c r="W140" s="73"/>
    </row>
    <row r="141" spans="1:23" ht="15.75" customHeight="1">
      <c r="A141" s="78" t="str">
        <f t="shared" si="54"/>
        <v>Jawar</v>
      </c>
      <c r="B141" s="78"/>
      <c r="C141" s="79">
        <v>0</v>
      </c>
      <c r="D141" s="80">
        <f>(C73*(1-'5.Closing Stock &amp; W Capital'!$D$15))*$C$141*D$124</f>
        <v>0</v>
      </c>
      <c r="E141" s="80">
        <f>((D73*(1-'5.Closing Stock &amp; W Capital'!$D$15))+(C73*'5.Closing Stock &amp; W Capital'!$D$15))*$C$141*E$124</f>
        <v>0</v>
      </c>
      <c r="F141" s="80">
        <f>((E73*(1-'5.Closing Stock &amp; W Capital'!$D$15))+(D73*'5.Closing Stock &amp; W Capital'!$D$15))*$C$141*F$124</f>
        <v>0</v>
      </c>
      <c r="G141" s="80">
        <f>((F73*(1-'5.Closing Stock &amp; W Capital'!$D$15))+(E73*'5.Closing Stock &amp; W Capital'!$D$15))*$C$141*G$124</f>
        <v>0</v>
      </c>
      <c r="H141" s="80">
        <f>((G73*(1-'5.Closing Stock &amp; W Capital'!$D$15))+(F73*'5.Closing Stock &amp; W Capital'!$D$15))*$C$141*H$124</f>
        <v>0</v>
      </c>
      <c r="I141" s="80">
        <f>((H73*(1-'5.Closing Stock &amp; W Capital'!$D$15))+(G73*'5.Closing Stock &amp; W Capital'!$D$15))*$C$141*I$124</f>
        <v>0</v>
      </c>
      <c r="J141" s="80">
        <f>((I73*(1-'5.Closing Stock &amp; W Capital'!$D$15))+(H73*'5.Closing Stock &amp; W Capital'!$D$15))*$C$141*J$124</f>
        <v>0</v>
      </c>
      <c r="K141" s="73"/>
      <c r="U141" s="73"/>
      <c r="V141" s="73"/>
      <c r="W141" s="73"/>
    </row>
    <row r="142" spans="1:23" ht="15.75" customHeight="1">
      <c r="A142" s="78" t="str">
        <f t="shared" si="54"/>
        <v>Maize</v>
      </c>
      <c r="B142" s="78"/>
      <c r="C142" s="79">
        <v>0</v>
      </c>
      <c r="D142" s="80">
        <f>(C74*(1-'5.Closing Stock &amp; W Capital'!$D$15))*$C$142*D$124</f>
        <v>0</v>
      </c>
      <c r="E142" s="80">
        <f>((D74*(1-'5.Closing Stock &amp; W Capital'!$D$15))+(C74*'5.Closing Stock &amp; W Capital'!$D$15))*$C$142*E$124</f>
        <v>0</v>
      </c>
      <c r="F142" s="80">
        <f>((E74*(1-'5.Closing Stock &amp; W Capital'!$D$15))+(D74*'5.Closing Stock &amp; W Capital'!$D$15))*$C$142*F$124</f>
        <v>0</v>
      </c>
      <c r="G142" s="80">
        <f>((F74*(1-'5.Closing Stock &amp; W Capital'!$D$15))+(E74*'5.Closing Stock &amp; W Capital'!$D$15))*$C$142*G$124</f>
        <v>0</v>
      </c>
      <c r="H142" s="80">
        <f>((G74*(1-'5.Closing Stock &amp; W Capital'!$D$15))+(F74*'5.Closing Stock &amp; W Capital'!$D$15))*$C$142*H$124</f>
        <v>0</v>
      </c>
      <c r="I142" s="80">
        <f>((H74*(1-'5.Closing Stock &amp; W Capital'!$D$15))+(G74*'5.Closing Stock &amp; W Capital'!$D$15))*$C$142*I$124</f>
        <v>0</v>
      </c>
      <c r="J142" s="80">
        <f>((I74*(1-'5.Closing Stock &amp; W Capital'!$D$15))+(H74*'5.Closing Stock &amp; W Capital'!$D$15))*$C$142*J$124</f>
        <v>0</v>
      </c>
      <c r="K142" s="73"/>
      <c r="U142" s="73"/>
      <c r="V142" s="73"/>
      <c r="W142" s="73"/>
    </row>
    <row r="143" spans="1:23" ht="15.75" customHeight="1">
      <c r="A143" s="78" t="str">
        <f t="shared" si="54"/>
        <v>Safflower</v>
      </c>
      <c r="B143" s="78"/>
      <c r="C143" s="79"/>
      <c r="D143" s="80">
        <f>(C75*(1-'5.Closing Stock &amp; W Capital'!$D$15))*$C$143*D$124</f>
        <v>0</v>
      </c>
      <c r="E143" s="80">
        <f>((D75*(1-'5.Closing Stock &amp; W Capital'!$D$15))+(C75*'5.Closing Stock &amp; W Capital'!$D$15))*$C$143*E$124</f>
        <v>0</v>
      </c>
      <c r="F143" s="80">
        <f>((E75*(1-'5.Closing Stock &amp; W Capital'!$D$15))+(D75*'5.Closing Stock &amp; W Capital'!$D$15))*$C$143*F$124</f>
        <v>0</v>
      </c>
      <c r="G143" s="80">
        <f>((F75*(1-'5.Closing Stock &amp; W Capital'!$D$15))+(E75*'5.Closing Stock &amp; W Capital'!$D$15))*$C$143*G$124</f>
        <v>0</v>
      </c>
      <c r="H143" s="80">
        <f>((G75*(1-'5.Closing Stock &amp; W Capital'!$D$15))+(F75*'5.Closing Stock &amp; W Capital'!$D$15))*$C$143*H$124</f>
        <v>0</v>
      </c>
      <c r="I143" s="80">
        <f>((H75*(1-'5.Closing Stock &amp; W Capital'!$D$15))+(G75*'5.Closing Stock &amp; W Capital'!$D$15))*$C$143*I$124</f>
        <v>0</v>
      </c>
      <c r="J143" s="80">
        <f>((I75*(1-'5.Closing Stock &amp; W Capital'!$D$15))+(H75*'5.Closing Stock &amp; W Capital'!$D$15))*$C$143*J$124</f>
        <v>0</v>
      </c>
      <c r="K143" s="73"/>
      <c r="U143" s="73"/>
      <c r="V143" s="73"/>
      <c r="W143" s="73"/>
    </row>
    <row r="144" spans="1:23" ht="15.75" customHeight="1">
      <c r="A144" s="78">
        <f t="shared" si="54"/>
        <v>0</v>
      </c>
      <c r="B144" s="78"/>
      <c r="C144" s="79"/>
      <c r="D144" s="80">
        <f>(C76*(1-'5.Closing Stock &amp; W Capital'!$D$15))*$C$144*D$124</f>
        <v>0</v>
      </c>
      <c r="E144" s="80">
        <f>((D76*(1-'5.Closing Stock &amp; W Capital'!$D$15))+(C76*'5.Closing Stock &amp; W Capital'!$D$15))*$C$144*E$124</f>
        <v>0</v>
      </c>
      <c r="F144" s="80">
        <f>((E76*(1-'5.Closing Stock &amp; W Capital'!$D$15))+(D76*'5.Closing Stock &amp; W Capital'!$D$15))*$C$144*F$124</f>
        <v>0</v>
      </c>
      <c r="G144" s="80">
        <f>((F76*(1-'5.Closing Stock &amp; W Capital'!$D$15))+(E76*'5.Closing Stock &amp; W Capital'!$D$15))*$C$144*G$124</f>
        <v>0</v>
      </c>
      <c r="H144" s="80">
        <f>((G76*(1-'5.Closing Stock &amp; W Capital'!$D$15))+(F76*'5.Closing Stock &amp; W Capital'!$D$15))*$C$144*H$124</f>
        <v>0</v>
      </c>
      <c r="I144" s="80">
        <f>((H76*(1-'5.Closing Stock &amp; W Capital'!$D$15))+(G76*'5.Closing Stock &amp; W Capital'!$D$15))*$C$144*I$124</f>
        <v>0</v>
      </c>
      <c r="J144" s="80">
        <f>((I76*(1-'5.Closing Stock &amp; W Capital'!$D$15))+(H76*'5.Closing Stock &amp; W Capital'!$D$15))*$C$144*J$124</f>
        <v>0</v>
      </c>
      <c r="K144" s="73"/>
      <c r="U144" s="73"/>
      <c r="V144" s="73"/>
      <c r="W144" s="73"/>
    </row>
    <row r="145" spans="1:23" ht="15.75" customHeight="1">
      <c r="A145" s="78">
        <f t="shared" si="54"/>
        <v>0</v>
      </c>
      <c r="B145" s="78"/>
      <c r="C145" s="79"/>
      <c r="D145" s="80">
        <f>(C77*(1-'5.Closing Stock &amp; W Capital'!$D$15))*$C$145*D$124</f>
        <v>0</v>
      </c>
      <c r="E145" s="80">
        <f>((D77*(1-'5.Closing Stock &amp; W Capital'!$D$15))+(C77*'5.Closing Stock &amp; W Capital'!$D$15))*$C$145*E$124</f>
        <v>0</v>
      </c>
      <c r="F145" s="80">
        <f>((E77*(1-'5.Closing Stock &amp; W Capital'!$D$15))+(D77*'5.Closing Stock &amp; W Capital'!$D$15))*$C$145*F$124</f>
        <v>0</v>
      </c>
      <c r="G145" s="80">
        <f>((F77*(1-'5.Closing Stock &amp; W Capital'!$D$15))+(E77*'5.Closing Stock &amp; W Capital'!$D$15))*$C$145*G$124</f>
        <v>0</v>
      </c>
      <c r="H145" s="80">
        <f>((G77*(1-'5.Closing Stock &amp; W Capital'!$D$15))+(F77*'5.Closing Stock &amp; W Capital'!$D$15))*$C$145*H$124</f>
        <v>0</v>
      </c>
      <c r="I145" s="80">
        <f>((H77*(1-'5.Closing Stock &amp; W Capital'!$D$15))+(G77*'5.Closing Stock &amp; W Capital'!$D$15))*$C$145*I$124</f>
        <v>0</v>
      </c>
      <c r="J145" s="80">
        <f>((I77*(1-'5.Closing Stock &amp; W Capital'!$D$15))+(H77*'5.Closing Stock &amp; W Capital'!$D$15))*$C$145*J$124</f>
        <v>0</v>
      </c>
      <c r="K145" s="73"/>
      <c r="U145" s="73"/>
      <c r="V145" s="73"/>
      <c r="W145" s="73"/>
    </row>
    <row r="146" spans="1:23" ht="15.75" customHeight="1">
      <c r="A146" s="78">
        <f t="shared" si="54"/>
        <v>0</v>
      </c>
      <c r="B146" s="78"/>
      <c r="C146" s="79"/>
      <c r="D146" s="80">
        <f>(C78*(1-'5.Closing Stock &amp; W Capital'!$D$15))*$C$146*D$124</f>
        <v>0</v>
      </c>
      <c r="E146" s="80">
        <f>((D78*(1-'5.Closing Stock &amp; W Capital'!$D$15))+(C78*'5.Closing Stock &amp; W Capital'!$D$15))*$C$146*E$124</f>
        <v>0</v>
      </c>
      <c r="F146" s="80">
        <f>((E78*(1-'5.Closing Stock &amp; W Capital'!$D$15))+(D78*'5.Closing Stock &amp; W Capital'!$D$15))*$C$146*F$124</f>
        <v>0</v>
      </c>
      <c r="G146" s="80">
        <f>((F78*(1-'5.Closing Stock &amp; W Capital'!$D$15))+(E78*'5.Closing Stock &amp; W Capital'!$D$15))*$C$146*G$124</f>
        <v>0</v>
      </c>
      <c r="H146" s="80">
        <f>((G78*(1-'5.Closing Stock &amp; W Capital'!$D$15))+(F78*'5.Closing Stock &amp; W Capital'!$D$15))*$C$146*H$124</f>
        <v>0</v>
      </c>
      <c r="I146" s="80">
        <f>((H78*(1-'5.Closing Stock &amp; W Capital'!$D$15))+(G78*'5.Closing Stock &amp; W Capital'!$D$15))*$C$146*I$124</f>
        <v>0</v>
      </c>
      <c r="J146" s="80">
        <f>((I78*(1-'5.Closing Stock &amp; W Capital'!$D$15))+(H78*'5.Closing Stock &amp; W Capital'!$D$15))*$C$146*J$124</f>
        <v>0</v>
      </c>
      <c r="K146" s="73"/>
      <c r="U146" s="73"/>
      <c r="V146" s="73"/>
      <c r="W146" s="73"/>
    </row>
    <row r="147" spans="1:23" ht="15.75" customHeight="1">
      <c r="A147" s="81" t="str">
        <f t="shared" si="54"/>
        <v>Summer</v>
      </c>
      <c r="B147" s="78"/>
      <c r="C147" s="79"/>
      <c r="D147" s="80"/>
      <c r="E147" s="80"/>
      <c r="F147" s="80"/>
      <c r="G147" s="80"/>
      <c r="H147" s="80"/>
      <c r="I147" s="80"/>
      <c r="J147" s="80"/>
      <c r="K147" s="73"/>
      <c r="U147" s="73"/>
      <c r="V147" s="73"/>
      <c r="W147" s="73"/>
    </row>
    <row r="148" spans="1:23" ht="15.75" customHeight="1">
      <c r="A148" s="78" t="str">
        <f t="shared" si="54"/>
        <v>Groundnut</v>
      </c>
      <c r="B148" s="78"/>
      <c r="C148" s="79"/>
      <c r="D148" s="80">
        <f>(C80*(1-'5.Closing Stock &amp; W Capital'!$D$15))*$C$148*D$124</f>
        <v>0</v>
      </c>
      <c r="E148" s="80">
        <f>((D80*(1-'5.Closing Stock &amp; W Capital'!$D$15))+(C80*'5.Closing Stock &amp; W Capital'!$D$15))*$C$148*E$124</f>
        <v>0</v>
      </c>
      <c r="F148" s="80">
        <f>((E80*(1-'5.Closing Stock &amp; W Capital'!$D$15))+(D80*'5.Closing Stock &amp; W Capital'!$D$15))*$C$148*F$124</f>
        <v>0</v>
      </c>
      <c r="G148" s="80">
        <f>((F80*(1-'5.Closing Stock &amp; W Capital'!$D$15))+(E80*'5.Closing Stock &amp; W Capital'!$D$15))*$C$148*G$124</f>
        <v>0</v>
      </c>
      <c r="H148" s="80">
        <f>((G80*(1-'5.Closing Stock &amp; W Capital'!$D$15))+(F80*'5.Closing Stock &amp; W Capital'!$D$15))*$C$148*H$124</f>
        <v>0</v>
      </c>
      <c r="I148" s="80">
        <f>((H80*(1-'5.Closing Stock &amp; W Capital'!$D$15))+(G80*'5.Closing Stock &amp; W Capital'!$D$15))*$C$148*I$124</f>
        <v>0</v>
      </c>
      <c r="J148" s="80">
        <f>((I80*(1-'5.Closing Stock &amp; W Capital'!$D$15))+(H80*'5.Closing Stock &amp; W Capital'!$D$15))*$C$148*J$124</f>
        <v>0</v>
      </c>
      <c r="K148" s="73"/>
      <c r="U148" s="73"/>
      <c r="V148" s="73"/>
      <c r="W148" s="73"/>
    </row>
    <row r="149" spans="1:23" ht="15.75" customHeight="1">
      <c r="A149" s="78">
        <f t="shared" si="54"/>
        <v>0</v>
      </c>
      <c r="B149" s="78"/>
      <c r="C149" s="79"/>
      <c r="D149" s="80">
        <f>(C81*(1-'5.Closing Stock &amp; W Capital'!$D$15))*$C$149*D$124</f>
        <v>0</v>
      </c>
      <c r="E149" s="80">
        <f>((D81*(1-'5.Closing Stock &amp; W Capital'!$D$15))+(C81*'5.Closing Stock &amp; W Capital'!$D$15))*$C$149*E$124</f>
        <v>0</v>
      </c>
      <c r="F149" s="80">
        <f>((E81*(1-'5.Closing Stock &amp; W Capital'!$D$15))+(D81*'5.Closing Stock &amp; W Capital'!$D$15))*$C$149*F$124</f>
        <v>0</v>
      </c>
      <c r="G149" s="80">
        <f>((F81*(1-'5.Closing Stock &amp; W Capital'!$D$15))+(E81*'5.Closing Stock &amp; W Capital'!$D$15))*$C$149*G$124</f>
        <v>0</v>
      </c>
      <c r="H149" s="80">
        <f>((G81*(1-'5.Closing Stock &amp; W Capital'!$D$15))+(F81*'5.Closing Stock &amp; W Capital'!$D$15))*$C$149*H$124</f>
        <v>0</v>
      </c>
      <c r="I149" s="80">
        <f>((H81*(1-'5.Closing Stock &amp; W Capital'!$D$15))+(G81*'5.Closing Stock &amp; W Capital'!$D$15))*$C$149*I$124</f>
        <v>0</v>
      </c>
      <c r="J149" s="80">
        <f>((I81*(1-'5.Closing Stock &amp; W Capital'!$D$15))+(H81*'5.Closing Stock &amp; W Capital'!$D$15))*$C$149*J$124</f>
        <v>0</v>
      </c>
      <c r="K149" s="73"/>
      <c r="U149" s="73"/>
      <c r="V149" s="73"/>
      <c r="W149" s="73"/>
    </row>
    <row r="150" spans="1:23" ht="15.75" customHeight="1">
      <c r="A150" s="78">
        <f t="shared" si="54"/>
        <v>0</v>
      </c>
      <c r="B150" s="78"/>
      <c r="C150" s="79"/>
      <c r="D150" s="80">
        <f>(C82*(1-'5.Closing Stock &amp; W Capital'!$D$15))*$C$150*D$124</f>
        <v>0</v>
      </c>
      <c r="E150" s="80">
        <f>((D82*(1-'5.Closing Stock &amp; W Capital'!$D$15))+(C82*'5.Closing Stock &amp; W Capital'!$D$15))*$C$150*E$124</f>
        <v>0</v>
      </c>
      <c r="F150" s="80">
        <f>((E82*(1-'5.Closing Stock &amp; W Capital'!$D$15))+(D82*'5.Closing Stock &amp; W Capital'!$D$15))*$C$150*F$124</f>
        <v>0</v>
      </c>
      <c r="G150" s="80">
        <f>((F82*(1-'5.Closing Stock &amp; W Capital'!$D$15))+(E82*'5.Closing Stock &amp; W Capital'!$D$15))*$C$150*G$124</f>
        <v>0</v>
      </c>
      <c r="H150" s="80">
        <f>((G82*(1-'5.Closing Stock &amp; W Capital'!$D$15))+(F82*'5.Closing Stock &amp; W Capital'!$D$15))*$C$150*H$124</f>
        <v>0</v>
      </c>
      <c r="I150" s="80">
        <f>((H82*(1-'5.Closing Stock &amp; W Capital'!$D$15))+(G82*'5.Closing Stock &amp; W Capital'!$D$15))*$C$150*I$124</f>
        <v>0</v>
      </c>
      <c r="J150" s="80">
        <f>((I82*(1-'5.Closing Stock &amp; W Capital'!$D$15))+(H82*'5.Closing Stock &amp; W Capital'!$D$15))*$C$150*J$124</f>
        <v>0</v>
      </c>
      <c r="K150" s="73"/>
      <c r="U150" s="73"/>
      <c r="V150" s="73"/>
      <c r="W150" s="73"/>
    </row>
    <row r="151" spans="1:23" ht="15.75" customHeight="1">
      <c r="A151" s="78">
        <f t="shared" si="54"/>
        <v>0</v>
      </c>
      <c r="B151" s="78"/>
      <c r="C151" s="79"/>
      <c r="D151" s="80">
        <f>(C83*(1-'5.Closing Stock &amp; W Capital'!$D$15))*$C$151*D$124</f>
        <v>0</v>
      </c>
      <c r="E151" s="80">
        <f>((D83*(1-'5.Closing Stock &amp; W Capital'!$D$15))+(C83*'5.Closing Stock &amp; W Capital'!$D$15))*$C$151*E$124</f>
        <v>0</v>
      </c>
      <c r="F151" s="80">
        <f>((E83*(1-'5.Closing Stock &amp; W Capital'!$D$15))+(D83*'5.Closing Stock &amp; W Capital'!$D$15))*$C$151*F$124</f>
        <v>0</v>
      </c>
      <c r="G151" s="80">
        <f>((F83*(1-'5.Closing Stock &amp; W Capital'!$D$15))+(E83*'5.Closing Stock &amp; W Capital'!$D$15))*$C$151*G$124</f>
        <v>0</v>
      </c>
      <c r="H151" s="80">
        <f>((G83*(1-'5.Closing Stock &amp; W Capital'!$D$15))+(F83*'5.Closing Stock &amp; W Capital'!$D$15))*$C$151*H$124</f>
        <v>0</v>
      </c>
      <c r="I151" s="80">
        <f>((H83*(1-'5.Closing Stock &amp; W Capital'!$D$15))+(G83*'5.Closing Stock &amp; W Capital'!$D$15))*$C$151*I$124</f>
        <v>0</v>
      </c>
      <c r="J151" s="80">
        <f>((I83*(1-'5.Closing Stock &amp; W Capital'!$D$15))+(H83*'5.Closing Stock &amp; W Capital'!$D$15))*$C$151*J$124</f>
        <v>0</v>
      </c>
      <c r="K151" s="73"/>
      <c r="U151" s="73"/>
      <c r="V151" s="73"/>
      <c r="W151" s="73"/>
    </row>
    <row r="152" spans="1:23" ht="15.75" customHeight="1">
      <c r="A152" s="78">
        <f t="shared" si="54"/>
        <v>0</v>
      </c>
      <c r="B152" s="78"/>
      <c r="C152" s="79"/>
      <c r="D152" s="80">
        <f>(C84*(1-'5.Closing Stock &amp; W Capital'!$D$15))*$C$152*D$124</f>
        <v>0</v>
      </c>
      <c r="E152" s="80">
        <f>((D84*(1-'5.Closing Stock &amp; W Capital'!$D$15))+(C84*'5.Closing Stock &amp; W Capital'!$D$15))*$C$152*E$124</f>
        <v>0</v>
      </c>
      <c r="F152" s="80">
        <f>((E84*(1-'5.Closing Stock &amp; W Capital'!$D$15))+(D84*'5.Closing Stock &amp; W Capital'!$D$15))*$C$152*F$124</f>
        <v>0</v>
      </c>
      <c r="G152" s="80">
        <f>((F84*(1-'5.Closing Stock &amp; W Capital'!$D$15))+(E84*'5.Closing Stock &amp; W Capital'!$D$15))*$C$152*G$124</f>
        <v>0</v>
      </c>
      <c r="H152" s="80">
        <f>((G84*(1-'5.Closing Stock &amp; W Capital'!$D$15))+(F84*'5.Closing Stock &amp; W Capital'!$D$15))*$C$152*H$124</f>
        <v>0</v>
      </c>
      <c r="I152" s="80">
        <f>((H84*(1-'5.Closing Stock &amp; W Capital'!$D$15))+(G84*'5.Closing Stock &amp; W Capital'!$D$15))*$C$152*I$124</f>
        <v>0</v>
      </c>
      <c r="J152" s="80">
        <f>((I84*(1-'5.Closing Stock &amp; W Capital'!$D$15))+(H84*'5.Closing Stock &amp; W Capital'!$D$15))*$C$152*J$124</f>
        <v>0</v>
      </c>
      <c r="K152" s="73"/>
      <c r="U152" s="73"/>
      <c r="V152" s="73"/>
      <c r="W152" s="73"/>
    </row>
    <row r="153" spans="1:23" ht="15.75" customHeight="1">
      <c r="A153" s="78" t="str">
        <f t="shared" si="54"/>
        <v>Fruit  &amp; Vegetables Crop Production Details</v>
      </c>
      <c r="B153" s="78"/>
      <c r="C153" s="79"/>
      <c r="D153" s="80"/>
      <c r="E153" s="80"/>
      <c r="F153" s="80"/>
      <c r="G153" s="80"/>
      <c r="H153" s="80"/>
      <c r="I153" s="80"/>
      <c r="J153" s="80"/>
      <c r="K153" s="73"/>
      <c r="U153" s="73"/>
      <c r="V153" s="73"/>
      <c r="W153" s="73"/>
    </row>
    <row r="154" spans="1:23" ht="15.75" customHeight="1">
      <c r="A154" s="78" t="str">
        <f t="shared" si="54"/>
        <v>Onion</v>
      </c>
      <c r="B154" s="78"/>
      <c r="C154" s="79"/>
      <c r="D154" s="80">
        <f>(C86*(1-'5.Closing Stock &amp; W Capital'!$D$15))*$C154*D$124</f>
        <v>0</v>
      </c>
      <c r="E154" s="80">
        <f>((D86*(1-'5.Closing Stock &amp; W Capital'!$D$15))+(C86*'5.Closing Stock &amp; W Capital'!$D$15))*$C154*E$124</f>
        <v>0</v>
      </c>
      <c r="F154" s="80">
        <f>((E86*(1-'5.Closing Stock &amp; W Capital'!$D$15))+(D86*'5.Closing Stock &amp; W Capital'!$D$15))*$C$152*F$124</f>
        <v>0</v>
      </c>
      <c r="G154" s="80">
        <f>((F86*(1-'5.Closing Stock &amp; W Capital'!$D$15))+(E86*'5.Closing Stock &amp; W Capital'!$D$15))*$C$152*G$124</f>
        <v>0</v>
      </c>
      <c r="H154" s="80">
        <f>((G86*(1-'5.Closing Stock &amp; W Capital'!$D$15))+(F86*'5.Closing Stock &amp; W Capital'!$D$15))*$C$152*H$124</f>
        <v>0</v>
      </c>
      <c r="I154" s="80">
        <f>((H86*(1-'5.Closing Stock &amp; W Capital'!$D$15))+(G86*'5.Closing Stock &amp; W Capital'!$D$15))*$C$152*I$124</f>
        <v>0</v>
      </c>
      <c r="J154" s="80">
        <f>((I86*(1-'5.Closing Stock &amp; W Capital'!$D$15))+(H86*'5.Closing Stock &amp; W Capital'!$D$15))*$C$152*J$124</f>
        <v>0</v>
      </c>
      <c r="K154" s="73"/>
      <c r="U154" s="73"/>
      <c r="V154" s="73"/>
      <c r="W154" s="73"/>
    </row>
    <row r="155" spans="1:23" ht="15.75" customHeight="1">
      <c r="A155" s="78" t="str">
        <f t="shared" si="54"/>
        <v>Tomato</v>
      </c>
      <c r="B155" s="78"/>
      <c r="C155" s="79"/>
      <c r="D155" s="80">
        <f>(C87*(1-'5.Closing Stock &amp; W Capital'!$D$15))*$C155*D$124</f>
        <v>0</v>
      </c>
      <c r="E155" s="80">
        <f>((D87*(1-'5.Closing Stock &amp; W Capital'!$D$15))+(C87*'5.Closing Stock &amp; W Capital'!$D$15))*$C155*E$124</f>
        <v>0</v>
      </c>
      <c r="F155" s="80">
        <f>((E87*(1-'5.Closing Stock &amp; W Capital'!$D$15))+(D87*'5.Closing Stock &amp; W Capital'!$D$15))*$C$152*F$124</f>
        <v>0</v>
      </c>
      <c r="G155" s="80">
        <f>((F87*(1-'5.Closing Stock &amp; W Capital'!$D$15))+(E87*'5.Closing Stock &amp; W Capital'!$D$15))*$C$152*G$124</f>
        <v>0</v>
      </c>
      <c r="H155" s="80">
        <f>((G87*(1-'5.Closing Stock &amp; W Capital'!$D$15))+(F87*'5.Closing Stock &amp; W Capital'!$D$15))*$C$152*H$124</f>
        <v>0</v>
      </c>
      <c r="I155" s="80">
        <f>((H87*(1-'5.Closing Stock &amp; W Capital'!$D$15))+(G87*'5.Closing Stock &amp; W Capital'!$D$15))*$C$152*I$124</f>
        <v>0</v>
      </c>
      <c r="J155" s="80">
        <f>((I87*(1-'5.Closing Stock &amp; W Capital'!$D$15))+(H87*'5.Closing Stock &amp; W Capital'!$D$15))*$C$152*J$124</f>
        <v>0</v>
      </c>
      <c r="K155" s="73"/>
      <c r="U155" s="73"/>
      <c r="V155" s="73"/>
      <c r="W155" s="73"/>
    </row>
    <row r="156" spans="1:23" ht="15.75" customHeight="1">
      <c r="A156" s="78" t="str">
        <f t="shared" si="54"/>
        <v>Okra</v>
      </c>
      <c r="B156" s="78"/>
      <c r="C156" s="79"/>
      <c r="D156" s="80">
        <f>(C88*(1-'5.Closing Stock &amp; W Capital'!$D$15))*$C156*D$124</f>
        <v>0</v>
      </c>
      <c r="E156" s="80">
        <f>((D88*(1-'5.Closing Stock &amp; W Capital'!$D$15))+(C88*'5.Closing Stock &amp; W Capital'!$D$15))*$C156*E$124</f>
        <v>0</v>
      </c>
      <c r="F156" s="80">
        <f>((E88*(1-'5.Closing Stock &amp; W Capital'!$D$15))+(D88*'5.Closing Stock &amp; W Capital'!$D$15))*$C$152*F$124</f>
        <v>0</v>
      </c>
      <c r="G156" s="80">
        <f>((F88*(1-'5.Closing Stock &amp; W Capital'!$D$15))+(E88*'5.Closing Stock &amp; W Capital'!$D$15))*$C$152*G$124</f>
        <v>0</v>
      </c>
      <c r="H156" s="80">
        <f>((G88*(1-'5.Closing Stock &amp; W Capital'!$D$15))+(F88*'5.Closing Stock &amp; W Capital'!$D$15))*$C$152*H$124</f>
        <v>0</v>
      </c>
      <c r="I156" s="80">
        <f>((H88*(1-'5.Closing Stock &amp; W Capital'!$D$15))+(G88*'5.Closing Stock &amp; W Capital'!$D$15))*$C$152*I$124</f>
        <v>0</v>
      </c>
      <c r="J156" s="80">
        <f>((I88*(1-'5.Closing Stock &amp; W Capital'!$D$15))+(H88*'5.Closing Stock &amp; W Capital'!$D$15))*$C$152*J$124</f>
        <v>0</v>
      </c>
      <c r="K156" s="73"/>
      <c r="U156" s="73"/>
      <c r="V156" s="73"/>
      <c r="W156" s="73"/>
    </row>
    <row r="157" spans="1:23" ht="15.75" customHeight="1">
      <c r="A157" s="78" t="str">
        <f t="shared" si="54"/>
        <v>Chilli</v>
      </c>
      <c r="B157" s="78"/>
      <c r="C157" s="79"/>
      <c r="D157" s="80">
        <f>(C89*(1-'5.Closing Stock &amp; W Capital'!$D$15))*$C157*D$124</f>
        <v>0</v>
      </c>
      <c r="E157" s="80">
        <f>((D89*(1-'5.Closing Stock &amp; W Capital'!$D$15))+(C89*'5.Closing Stock &amp; W Capital'!$D$15))*$C157*E$124</f>
        <v>0</v>
      </c>
      <c r="F157" s="80">
        <f>((E89*(1-'5.Closing Stock &amp; W Capital'!$D$15))+(D89*'5.Closing Stock &amp; W Capital'!$D$15))*$C$152*F$124</f>
        <v>0</v>
      </c>
      <c r="G157" s="80">
        <f>((F89*(1-'5.Closing Stock &amp; W Capital'!$D$15))+(E89*'5.Closing Stock &amp; W Capital'!$D$15))*$C$152*G$124</f>
        <v>0</v>
      </c>
      <c r="H157" s="80">
        <f>((G89*(1-'5.Closing Stock &amp; W Capital'!$D$15))+(F89*'5.Closing Stock &amp; W Capital'!$D$15))*$C$152*H$124</f>
        <v>0</v>
      </c>
      <c r="I157" s="80">
        <f>((H89*(1-'5.Closing Stock &amp; W Capital'!$D$15))+(G89*'5.Closing Stock &amp; W Capital'!$D$15))*$C$152*I$124</f>
        <v>0</v>
      </c>
      <c r="J157" s="80">
        <f>((I89*(1-'5.Closing Stock &amp; W Capital'!$D$15))+(H89*'5.Closing Stock &amp; W Capital'!$D$15))*$C$152*J$124</f>
        <v>0</v>
      </c>
      <c r="K157" s="73"/>
      <c r="U157" s="73"/>
      <c r="V157" s="73"/>
      <c r="W157" s="73"/>
    </row>
    <row r="158" spans="1:23" ht="15.75" customHeight="1">
      <c r="A158" s="78" t="str">
        <f t="shared" si="54"/>
        <v>Potato</v>
      </c>
      <c r="B158" s="78"/>
      <c r="C158" s="79"/>
      <c r="D158" s="80">
        <f>(C90*(1-'5.Closing Stock &amp; W Capital'!$D$15))*$C158*D$124</f>
        <v>0</v>
      </c>
      <c r="E158" s="80">
        <f>((D90*(1-'5.Closing Stock &amp; W Capital'!$D$15))+(C90*'5.Closing Stock &amp; W Capital'!$D$15))*$C158*E$124</f>
        <v>0</v>
      </c>
      <c r="F158" s="80">
        <f>((E90*(1-'5.Closing Stock &amp; W Capital'!$D$15))+(D90*'5.Closing Stock &amp; W Capital'!$D$15))*$C$152*F$124</f>
        <v>0</v>
      </c>
      <c r="G158" s="80">
        <f>((F90*(1-'5.Closing Stock &amp; W Capital'!$D$15))+(E90*'5.Closing Stock &amp; W Capital'!$D$15))*$C$152*G$124</f>
        <v>0</v>
      </c>
      <c r="H158" s="80">
        <f>((G90*(1-'5.Closing Stock &amp; W Capital'!$D$15))+(F90*'5.Closing Stock &amp; W Capital'!$D$15))*$C$152*H$124</f>
        <v>0</v>
      </c>
      <c r="I158" s="80">
        <f>((H90*(1-'5.Closing Stock &amp; W Capital'!$D$15))+(G90*'5.Closing Stock &amp; W Capital'!$D$15))*$C$152*I$124</f>
        <v>0</v>
      </c>
      <c r="J158" s="80">
        <f>((I90*(1-'5.Closing Stock &amp; W Capital'!$D$15))+(H90*'5.Closing Stock &amp; W Capital'!$D$15))*$C$152*J$124</f>
        <v>0</v>
      </c>
      <c r="K158" s="73"/>
      <c r="U158" s="73"/>
      <c r="V158" s="73"/>
      <c r="W158" s="73"/>
    </row>
    <row r="159" spans="1:23" ht="15.75" customHeight="1">
      <c r="A159" s="78">
        <f t="shared" si="54"/>
        <v>0</v>
      </c>
      <c r="B159" s="78"/>
      <c r="C159" s="79"/>
      <c r="D159" s="80">
        <f>(C91*(1-'5.Closing Stock &amp; W Capital'!$D$15))*$C159*D$124</f>
        <v>0</v>
      </c>
      <c r="E159" s="80">
        <f>((D91*(1-'5.Closing Stock &amp; W Capital'!$D$15))+(C91*'5.Closing Stock &amp; W Capital'!$D$15))*$C159*E$124</f>
        <v>0</v>
      </c>
      <c r="F159" s="80">
        <f>((E91*(1-'5.Closing Stock &amp; W Capital'!$D$15))+(D91*'5.Closing Stock &amp; W Capital'!$D$15))*$C$152*F$124</f>
        <v>0</v>
      </c>
      <c r="G159" s="80">
        <f>((F91*(1-'5.Closing Stock &amp; W Capital'!$D$15))+(E91*'5.Closing Stock &amp; W Capital'!$D$15))*$C$152*G$124</f>
        <v>0</v>
      </c>
      <c r="H159" s="80">
        <f>((G91*(1-'5.Closing Stock &amp; W Capital'!$D$15))+(F91*'5.Closing Stock &amp; W Capital'!$D$15))*$C$152*H$124</f>
        <v>0</v>
      </c>
      <c r="I159" s="80">
        <f>((H91*(1-'5.Closing Stock &amp; W Capital'!$D$15))+(G91*'5.Closing Stock &amp; W Capital'!$D$15))*$C$152*I$124</f>
        <v>0</v>
      </c>
      <c r="J159" s="80">
        <f>((I91*(1-'5.Closing Stock &amp; W Capital'!$D$15))+(H91*'5.Closing Stock &amp; W Capital'!$D$15))*$C$152*J$124</f>
        <v>0</v>
      </c>
      <c r="K159" s="73"/>
      <c r="U159" s="73"/>
      <c r="V159" s="73"/>
      <c r="W159" s="73"/>
    </row>
    <row r="160" spans="1:23" ht="15.75" customHeight="1">
      <c r="A160" s="78">
        <f t="shared" si="54"/>
        <v>0</v>
      </c>
      <c r="B160" s="78"/>
      <c r="C160" s="79"/>
      <c r="D160" s="80">
        <f>(C92*(1-'5.Closing Stock &amp; W Capital'!$D$15))*$C160*D$124</f>
        <v>0</v>
      </c>
      <c r="E160" s="80">
        <f>((D92*(1-'5.Closing Stock &amp; W Capital'!$D$15))+(C92*'5.Closing Stock &amp; W Capital'!$D$15))*$C160*E$124</f>
        <v>0</v>
      </c>
      <c r="F160" s="80">
        <f>((E92*(1-'5.Closing Stock &amp; W Capital'!$D$15))+(D92*'5.Closing Stock &amp; W Capital'!$D$15))*$C$152*F$124</f>
        <v>0</v>
      </c>
      <c r="G160" s="80">
        <f>((F92*(1-'5.Closing Stock &amp; W Capital'!$D$15))+(E92*'5.Closing Stock &amp; W Capital'!$D$15))*$C$152*G$124</f>
        <v>0</v>
      </c>
      <c r="H160" s="80">
        <f>((G92*(1-'5.Closing Stock &amp; W Capital'!$D$15))+(F92*'5.Closing Stock &amp; W Capital'!$D$15))*$C$152*H$124</f>
        <v>0</v>
      </c>
      <c r="I160" s="80">
        <f>((H92*(1-'5.Closing Stock &amp; W Capital'!$D$15))+(G92*'5.Closing Stock &amp; W Capital'!$D$15))*$C$152*I$124</f>
        <v>0</v>
      </c>
      <c r="J160" s="80">
        <f>((I92*(1-'5.Closing Stock &amp; W Capital'!$D$15))+(H92*'5.Closing Stock &amp; W Capital'!$D$15))*$C$152*J$124</f>
        <v>0</v>
      </c>
      <c r="K160" s="73"/>
      <c r="U160" s="73"/>
      <c r="V160" s="73"/>
      <c r="W160" s="73"/>
    </row>
    <row r="161" spans="1:23" ht="15.75" customHeight="1">
      <c r="A161" s="78">
        <f t="shared" si="54"/>
        <v>0</v>
      </c>
      <c r="B161" s="78"/>
      <c r="C161" s="79"/>
      <c r="D161" s="80">
        <f>(C93*(1-'5.Closing Stock &amp; W Capital'!$D$15))*$C161*D$124</f>
        <v>0</v>
      </c>
      <c r="E161" s="80">
        <f>((D93*(1-'5.Closing Stock &amp; W Capital'!$D$15))+(C93*'5.Closing Stock &amp; W Capital'!$D$15))*$C161*E$124</f>
        <v>0</v>
      </c>
      <c r="F161" s="80">
        <f>((E93*(1-'5.Closing Stock &amp; W Capital'!$D$15))+(D93*'5.Closing Stock &amp; W Capital'!$D$15))*$C$152*F$124</f>
        <v>0</v>
      </c>
      <c r="G161" s="80">
        <f>((F93*(1-'5.Closing Stock &amp; W Capital'!$D$15))+(E93*'5.Closing Stock &amp; W Capital'!$D$15))*$C$152*G$124</f>
        <v>0</v>
      </c>
      <c r="H161" s="80">
        <f>((G93*(1-'5.Closing Stock &amp; W Capital'!$D$15))+(F93*'5.Closing Stock &amp; W Capital'!$D$15))*$C$152*H$124</f>
        <v>0</v>
      </c>
      <c r="I161" s="80">
        <f>((H93*(1-'5.Closing Stock &amp; W Capital'!$D$15))+(G93*'5.Closing Stock &amp; W Capital'!$D$15))*$C$152*I$124</f>
        <v>0</v>
      </c>
      <c r="J161" s="80">
        <f>((I93*(1-'5.Closing Stock &amp; W Capital'!$D$15))+(H93*'5.Closing Stock &amp; W Capital'!$D$15))*$C$152*J$124</f>
        <v>0</v>
      </c>
      <c r="K161" s="73"/>
      <c r="U161" s="73"/>
      <c r="V161" s="73"/>
      <c r="W161" s="73"/>
    </row>
    <row r="162" spans="1:23" ht="15.75" customHeight="1">
      <c r="A162" s="78">
        <f t="shared" si="54"/>
        <v>0</v>
      </c>
      <c r="B162" s="78"/>
      <c r="C162" s="79"/>
      <c r="D162" s="80">
        <f>(C94*(1-'5.Closing Stock &amp; W Capital'!$D$15))*$C162*D$124</f>
        <v>0</v>
      </c>
      <c r="E162" s="80">
        <f>((D94*(1-'5.Closing Stock &amp; W Capital'!$D$15))+(C94*'5.Closing Stock &amp; W Capital'!$D$15))*$C162*E$124</f>
        <v>0</v>
      </c>
      <c r="F162" s="80">
        <f>((E94*(1-'5.Closing Stock &amp; W Capital'!$D$15))+(D94*'5.Closing Stock &amp; W Capital'!$D$15))*$C$152*F$124</f>
        <v>0</v>
      </c>
      <c r="G162" s="80">
        <f>((F94*(1-'5.Closing Stock &amp; W Capital'!$D$15))+(E94*'5.Closing Stock &amp; W Capital'!$D$15))*$C$152*G$124</f>
        <v>0</v>
      </c>
      <c r="H162" s="80">
        <f>((G94*(1-'5.Closing Stock &amp; W Capital'!$D$15))+(F94*'5.Closing Stock &amp; W Capital'!$D$15))*$C$152*H$124</f>
        <v>0</v>
      </c>
      <c r="I162" s="80">
        <f>((H94*(1-'5.Closing Stock &amp; W Capital'!$D$15))+(G94*'5.Closing Stock &amp; W Capital'!$D$15))*$C$152*I$124</f>
        <v>0</v>
      </c>
      <c r="J162" s="80">
        <f>((I94*(1-'5.Closing Stock &amp; W Capital'!$D$15))+(H94*'5.Closing Stock &amp; W Capital'!$D$15))*$C$152*J$124</f>
        <v>0</v>
      </c>
      <c r="K162" s="73"/>
      <c r="U162" s="73"/>
      <c r="V162" s="73"/>
      <c r="W162" s="73"/>
    </row>
    <row r="163" spans="1:23" ht="15.75" customHeight="1">
      <c r="A163" s="78" t="str">
        <f t="shared" si="54"/>
        <v>Onion</v>
      </c>
      <c r="B163" s="78"/>
      <c r="C163" s="79"/>
      <c r="D163" s="80">
        <f>(C95*(1-'5.Closing Stock &amp; W Capital'!$D$15))*$C163*D$124</f>
        <v>0</v>
      </c>
      <c r="E163" s="80">
        <f>((D95*(1-'5.Closing Stock &amp; W Capital'!$D$15))+(C95*'5.Closing Stock &amp; W Capital'!$D$15))*$C163*E$124</f>
        <v>0</v>
      </c>
      <c r="F163" s="80">
        <f>((E95*(1-'5.Closing Stock &amp; W Capital'!$D$15))+(D95*'5.Closing Stock &amp; W Capital'!$D$15))*$C$152*F$124</f>
        <v>0</v>
      </c>
      <c r="G163" s="80">
        <f>((F95*(1-'5.Closing Stock &amp; W Capital'!$D$15))+(E95*'5.Closing Stock &amp; W Capital'!$D$15))*$C$152*G$124</f>
        <v>0</v>
      </c>
      <c r="H163" s="80">
        <f>((G95*(1-'5.Closing Stock &amp; W Capital'!$D$15))+(F95*'5.Closing Stock &amp; W Capital'!$D$15))*$C$152*H$124</f>
        <v>0</v>
      </c>
      <c r="I163" s="80">
        <f>((H95*(1-'5.Closing Stock &amp; W Capital'!$D$15))+(G95*'5.Closing Stock &amp; W Capital'!$D$15))*$C$152*I$124</f>
        <v>0</v>
      </c>
      <c r="J163" s="80">
        <f>((I95*(1-'5.Closing Stock &amp; W Capital'!$D$15))+(H95*'5.Closing Stock &amp; W Capital'!$D$15))*$C$152*J$124</f>
        <v>0</v>
      </c>
      <c r="K163" s="73"/>
      <c r="U163" s="73"/>
      <c r="V163" s="73"/>
      <c r="W163" s="73"/>
    </row>
    <row r="164" spans="1:23" ht="15.75" customHeight="1">
      <c r="A164" s="78" t="str">
        <f t="shared" si="54"/>
        <v>Tomato</v>
      </c>
      <c r="B164" s="78"/>
      <c r="C164" s="79"/>
      <c r="D164" s="80">
        <f>(C96*(1-'5.Closing Stock &amp; W Capital'!$D$15))*$C164*D$124</f>
        <v>0</v>
      </c>
      <c r="E164" s="80">
        <f>((D96*(1-'5.Closing Stock &amp; W Capital'!$D$15))+(C96*'5.Closing Stock &amp; W Capital'!$D$15))*$C164*E$124</f>
        <v>0</v>
      </c>
      <c r="F164" s="80">
        <f>((E96*(1-'5.Closing Stock &amp; W Capital'!$D$15))+(D96*'5.Closing Stock &amp; W Capital'!$D$15))*$C$152*F$124</f>
        <v>0</v>
      </c>
      <c r="G164" s="80">
        <f>((F96*(1-'5.Closing Stock &amp; W Capital'!$D$15))+(E96*'5.Closing Stock &amp; W Capital'!$D$15))*$C$152*G$124</f>
        <v>0</v>
      </c>
      <c r="H164" s="80">
        <f>((G96*(1-'5.Closing Stock &amp; W Capital'!$D$15))+(F96*'5.Closing Stock &amp; W Capital'!$D$15))*$C$152*H$124</f>
        <v>0</v>
      </c>
      <c r="I164" s="80">
        <f>((H96*(1-'5.Closing Stock &amp; W Capital'!$D$15))+(G96*'5.Closing Stock &amp; W Capital'!$D$15))*$C$152*I$124</f>
        <v>0</v>
      </c>
      <c r="J164" s="80">
        <f>((I96*(1-'5.Closing Stock &amp; W Capital'!$D$15))+(H96*'5.Closing Stock &amp; W Capital'!$D$15))*$C$152*J$124</f>
        <v>0</v>
      </c>
      <c r="K164" s="73"/>
      <c r="U164" s="73"/>
      <c r="V164" s="73"/>
      <c r="W164" s="73"/>
    </row>
    <row r="165" spans="1:23" ht="15.75" customHeight="1">
      <c r="A165" s="78" t="str">
        <f t="shared" si="54"/>
        <v>Okra</v>
      </c>
      <c r="B165" s="78"/>
      <c r="C165" s="79"/>
      <c r="D165" s="80">
        <f>(C97*(1-'5.Closing Stock &amp; W Capital'!$D$15))*$C165*D$124</f>
        <v>0</v>
      </c>
      <c r="E165" s="80">
        <f>((D97*(1-'5.Closing Stock &amp; W Capital'!$D$15))+(C97*'5.Closing Stock &amp; W Capital'!$D$15))*$C165*E$124</f>
        <v>0</v>
      </c>
      <c r="F165" s="80">
        <f>((E97*(1-'5.Closing Stock &amp; W Capital'!$D$15))+(D97*'5.Closing Stock &amp; W Capital'!$D$15))*$C$152*F$124</f>
        <v>0</v>
      </c>
      <c r="G165" s="80">
        <f>((F97*(1-'5.Closing Stock &amp; W Capital'!$D$15))+(E97*'5.Closing Stock &amp; W Capital'!$D$15))*$C$152*G$124</f>
        <v>0</v>
      </c>
      <c r="H165" s="80">
        <f>((G97*(1-'5.Closing Stock &amp; W Capital'!$D$15))+(F97*'5.Closing Stock &amp; W Capital'!$D$15))*$C$152*H$124</f>
        <v>0</v>
      </c>
      <c r="I165" s="80">
        <f>((H97*(1-'5.Closing Stock &amp; W Capital'!$D$15))+(G97*'5.Closing Stock &amp; W Capital'!$D$15))*$C$152*I$124</f>
        <v>0</v>
      </c>
      <c r="J165" s="80">
        <f>((I97*(1-'5.Closing Stock &amp; W Capital'!$D$15))+(H97*'5.Closing Stock &amp; W Capital'!$D$15))*$C$152*J$124</f>
        <v>0</v>
      </c>
      <c r="K165" s="73"/>
      <c r="U165" s="73"/>
      <c r="V165" s="73"/>
      <c r="W165" s="73"/>
    </row>
    <row r="166" spans="1:23" ht="15.75" customHeight="1">
      <c r="A166" s="78" t="str">
        <f t="shared" si="54"/>
        <v>Chilli</v>
      </c>
      <c r="B166" s="78"/>
      <c r="C166" s="79"/>
      <c r="D166" s="80">
        <f>(C98*(1-'5.Closing Stock &amp; W Capital'!$D$15))*$C166*D$124</f>
        <v>0</v>
      </c>
      <c r="E166" s="80">
        <f>((D98*(1-'5.Closing Stock &amp; W Capital'!$D$15))+(C98*'5.Closing Stock &amp; W Capital'!$D$15))*$C166*E$124</f>
        <v>0</v>
      </c>
      <c r="F166" s="80">
        <f>((E98*(1-'5.Closing Stock &amp; W Capital'!$D$15))+(D98*'5.Closing Stock &amp; W Capital'!$D$15))*$C$152*F$124</f>
        <v>0</v>
      </c>
      <c r="G166" s="80">
        <f>((F98*(1-'5.Closing Stock &amp; W Capital'!$D$15))+(E98*'5.Closing Stock &amp; W Capital'!$D$15))*$C$152*G$124</f>
        <v>0</v>
      </c>
      <c r="H166" s="80">
        <f>((G98*(1-'5.Closing Stock &amp; W Capital'!$D$15))+(F98*'5.Closing Stock &amp; W Capital'!$D$15))*$C$152*H$124</f>
        <v>0</v>
      </c>
      <c r="I166" s="80">
        <f>((H98*(1-'5.Closing Stock &amp; W Capital'!$D$15))+(G98*'5.Closing Stock &amp; W Capital'!$D$15))*$C$152*I$124</f>
        <v>0</v>
      </c>
      <c r="J166" s="80">
        <f>((I98*(1-'5.Closing Stock &amp; W Capital'!$D$15))+(H98*'5.Closing Stock &amp; W Capital'!$D$15))*$C$152*J$124</f>
        <v>0</v>
      </c>
      <c r="K166" s="73"/>
      <c r="U166" s="73"/>
      <c r="V166" s="73"/>
      <c r="W166" s="73"/>
    </row>
    <row r="167" spans="1:23" ht="15.75" customHeight="1">
      <c r="A167" s="78" t="str">
        <f t="shared" si="54"/>
        <v>Brinjal</v>
      </c>
      <c r="B167" s="78"/>
      <c r="C167" s="79"/>
      <c r="D167" s="80">
        <f>(C99*(1-'5.Closing Stock &amp; W Capital'!$D$15))*$C167*D$124</f>
        <v>0</v>
      </c>
      <c r="E167" s="80">
        <f>((D99*(1-'5.Closing Stock &amp; W Capital'!$D$15))+(C99*'5.Closing Stock &amp; W Capital'!$D$15))*$C167*E$124</f>
        <v>0</v>
      </c>
      <c r="F167" s="80">
        <f>((E99*(1-'5.Closing Stock &amp; W Capital'!$D$15))+(D99*'5.Closing Stock &amp; W Capital'!$D$15))*$C$152*F$124</f>
        <v>0</v>
      </c>
      <c r="G167" s="80">
        <f>((F99*(1-'5.Closing Stock &amp; W Capital'!$D$15))+(E99*'5.Closing Stock &amp; W Capital'!$D$15))*$C$152*G$124</f>
        <v>0</v>
      </c>
      <c r="H167" s="80">
        <f>((G99*(1-'5.Closing Stock &amp; W Capital'!$D$15))+(F99*'5.Closing Stock &amp; W Capital'!$D$15))*$C$152*H$124</f>
        <v>0</v>
      </c>
      <c r="I167" s="80">
        <f>((H99*(1-'5.Closing Stock &amp; W Capital'!$D$15))+(G99*'5.Closing Stock &amp; W Capital'!$D$15))*$C$152*I$124</f>
        <v>0</v>
      </c>
      <c r="J167" s="80">
        <f>((I99*(1-'5.Closing Stock &amp; W Capital'!$D$15))+(H99*'5.Closing Stock &amp; W Capital'!$D$15))*$C$152*J$124</f>
        <v>0</v>
      </c>
      <c r="K167" s="73"/>
      <c r="U167" s="73"/>
      <c r="V167" s="73"/>
      <c r="W167" s="73"/>
    </row>
    <row r="168" spans="1:23" ht="15.75" customHeight="1">
      <c r="A168" s="78">
        <f t="shared" si="54"/>
        <v>0</v>
      </c>
      <c r="B168" s="78"/>
      <c r="C168" s="79"/>
      <c r="D168" s="80">
        <f>(C100*(1-'5.Closing Stock &amp; W Capital'!$D$15))*$C168*D$124</f>
        <v>0</v>
      </c>
      <c r="E168" s="80">
        <f>((D100*(1-'5.Closing Stock &amp; W Capital'!$D$15))+(C100*'5.Closing Stock &amp; W Capital'!$D$15))*$C168*E$124</f>
        <v>0</v>
      </c>
      <c r="F168" s="80">
        <f>((E100*(1-'5.Closing Stock &amp; W Capital'!$D$15))+(D100*'5.Closing Stock &amp; W Capital'!$D$15))*$C$152*F$124</f>
        <v>0</v>
      </c>
      <c r="G168" s="80">
        <f>((F100*(1-'5.Closing Stock &amp; W Capital'!$D$15))+(E100*'5.Closing Stock &amp; W Capital'!$D$15))*$C$152*G$124</f>
        <v>0</v>
      </c>
      <c r="H168" s="80">
        <f>((G100*(1-'5.Closing Stock &amp; W Capital'!$D$15))+(F100*'5.Closing Stock &amp; W Capital'!$D$15))*$C$152*H$124</f>
        <v>0</v>
      </c>
      <c r="I168" s="80">
        <f>((H100*(1-'5.Closing Stock &amp; W Capital'!$D$15))+(G100*'5.Closing Stock &amp; W Capital'!$D$15))*$C$152*I$124</f>
        <v>0</v>
      </c>
      <c r="J168" s="80">
        <f>((I100*(1-'5.Closing Stock &amp; W Capital'!$D$15))+(H100*'5.Closing Stock &amp; W Capital'!$D$15))*$C$152*J$124</f>
        <v>0</v>
      </c>
      <c r="K168" s="73"/>
      <c r="U168" s="73"/>
      <c r="V168" s="73"/>
      <c r="W168" s="73"/>
    </row>
    <row r="169" spans="1:23" ht="15.75" customHeight="1">
      <c r="A169" s="78">
        <f t="shared" si="54"/>
        <v>0</v>
      </c>
      <c r="B169" s="78"/>
      <c r="C169" s="79"/>
      <c r="D169" s="80">
        <f>(C101*(1-'5.Closing Stock &amp; W Capital'!$D$15))*$C169*D$124</f>
        <v>0</v>
      </c>
      <c r="E169" s="80">
        <f>((D101*(1-'5.Closing Stock &amp; W Capital'!$D$15))+(C101*'5.Closing Stock &amp; W Capital'!$D$15))*$C169*E$124</f>
        <v>0</v>
      </c>
      <c r="F169" s="80">
        <f>((E101*(1-'5.Closing Stock &amp; W Capital'!$D$15))+(D101*'5.Closing Stock &amp; W Capital'!$D$15))*$C$152*F$124</f>
        <v>0</v>
      </c>
      <c r="G169" s="80">
        <f>((F101*(1-'5.Closing Stock &amp; W Capital'!$D$15))+(E101*'5.Closing Stock &amp; W Capital'!$D$15))*$C$152*G$124</f>
        <v>0</v>
      </c>
      <c r="H169" s="80">
        <f>((G101*(1-'5.Closing Stock &amp; W Capital'!$D$15))+(F101*'5.Closing Stock &amp; W Capital'!$D$15))*$C$152*H$124</f>
        <v>0</v>
      </c>
      <c r="I169" s="80">
        <f>((H101*(1-'5.Closing Stock &amp; W Capital'!$D$15))+(G101*'5.Closing Stock &amp; W Capital'!$D$15))*$C$152*I$124</f>
        <v>0</v>
      </c>
      <c r="J169" s="80">
        <f>((I101*(1-'5.Closing Stock &amp; W Capital'!$D$15))+(H101*'5.Closing Stock &amp; W Capital'!$D$15))*$C$152*J$124</f>
        <v>0</v>
      </c>
      <c r="K169" s="73"/>
      <c r="U169" s="73"/>
      <c r="V169" s="73"/>
      <c r="W169" s="73"/>
    </row>
    <row r="170" spans="1:23" ht="15.75" customHeight="1">
      <c r="A170" s="78">
        <f t="shared" si="54"/>
        <v>0</v>
      </c>
      <c r="B170" s="78"/>
      <c r="C170" s="79"/>
      <c r="D170" s="80">
        <f>(C102*(1-'5.Closing Stock &amp; W Capital'!$D$15))*$C170*D$124</f>
        <v>0</v>
      </c>
      <c r="E170" s="80">
        <f>((D102*(1-'5.Closing Stock &amp; W Capital'!$D$15))+(C102*'5.Closing Stock &amp; W Capital'!$D$15))*$C170*E$124</f>
        <v>0</v>
      </c>
      <c r="F170" s="80">
        <f>((E102*(1-'5.Closing Stock &amp; W Capital'!$D$15))+(D102*'5.Closing Stock &amp; W Capital'!$D$15))*$C$152*F$124</f>
        <v>0</v>
      </c>
      <c r="G170" s="80">
        <f>((F102*(1-'5.Closing Stock &amp; W Capital'!$D$15))+(E102*'5.Closing Stock &amp; W Capital'!$D$15))*$C$152*G$124</f>
        <v>0</v>
      </c>
      <c r="H170" s="80">
        <f>((G102*(1-'5.Closing Stock &amp; W Capital'!$D$15))+(F102*'5.Closing Stock &amp; W Capital'!$D$15))*$C$152*H$124</f>
        <v>0</v>
      </c>
      <c r="I170" s="80">
        <f>((H102*(1-'5.Closing Stock &amp; W Capital'!$D$15))+(G102*'5.Closing Stock &amp; W Capital'!$D$15))*$C$152*I$124</f>
        <v>0</v>
      </c>
      <c r="J170" s="80">
        <f>((I102*(1-'5.Closing Stock &amp; W Capital'!$D$15))+(H102*'5.Closing Stock &amp; W Capital'!$D$15))*$C$152*J$124</f>
        <v>0</v>
      </c>
      <c r="K170" s="73"/>
      <c r="U170" s="73"/>
      <c r="V170" s="73"/>
      <c r="W170" s="73"/>
    </row>
    <row r="171" spans="1:23" ht="15.75" customHeight="1">
      <c r="A171" s="78">
        <f t="shared" si="54"/>
        <v>0</v>
      </c>
      <c r="B171" s="78"/>
      <c r="C171" s="79"/>
      <c r="D171" s="80">
        <f>(C103*(1-'5.Closing Stock &amp; W Capital'!$D$15))*$C171*D$124</f>
        <v>0</v>
      </c>
      <c r="E171" s="80">
        <f>((D103*(1-'5.Closing Stock &amp; W Capital'!$D$15))+(C103*'5.Closing Stock &amp; W Capital'!$D$15))*$C171*E$124</f>
        <v>0</v>
      </c>
      <c r="F171" s="80">
        <f>((E103*(1-'5.Closing Stock &amp; W Capital'!$D$15))+(D103*'5.Closing Stock &amp; W Capital'!$D$15))*$C$152*F$124</f>
        <v>0</v>
      </c>
      <c r="G171" s="80">
        <f>((F103*(1-'5.Closing Stock &amp; W Capital'!$D$15))+(E103*'5.Closing Stock &amp; W Capital'!$D$15))*$C$152*G$124</f>
        <v>0</v>
      </c>
      <c r="H171" s="80">
        <f>((G103*(1-'5.Closing Stock &amp; W Capital'!$D$15))+(F103*'5.Closing Stock &amp; W Capital'!$D$15))*$C$152*H$124</f>
        <v>0</v>
      </c>
      <c r="I171" s="80">
        <f>((H103*(1-'5.Closing Stock &amp; W Capital'!$D$15))+(G103*'5.Closing Stock &amp; W Capital'!$D$15))*$C$152*I$124</f>
        <v>0</v>
      </c>
      <c r="J171" s="80">
        <f>((I103*(1-'5.Closing Stock &amp; W Capital'!$D$15))+(H103*'5.Closing Stock &amp; W Capital'!$D$15))*$C$152*J$124</f>
        <v>0</v>
      </c>
      <c r="K171" s="73"/>
      <c r="U171" s="73"/>
      <c r="V171" s="73"/>
      <c r="W171" s="73"/>
    </row>
    <row r="172" spans="1:23" ht="15.75" customHeight="1">
      <c r="A172" s="78">
        <f t="shared" si="54"/>
        <v>0</v>
      </c>
      <c r="B172" s="78"/>
      <c r="C172" s="79"/>
      <c r="D172" s="80">
        <f>(C104*(1-'5.Closing Stock &amp; W Capital'!$D$15))*$C172*D$124</f>
        <v>0</v>
      </c>
      <c r="E172" s="80">
        <f>((D104*(1-'5.Closing Stock &amp; W Capital'!$D$15))+(C104*'5.Closing Stock &amp; W Capital'!$D$15))*$C172*E$124</f>
        <v>0</v>
      </c>
      <c r="F172" s="80">
        <f>((E104*(1-'5.Closing Stock &amp; W Capital'!$D$15))+(D104*'5.Closing Stock &amp; W Capital'!$D$15))*$C$152*F$124</f>
        <v>0</v>
      </c>
      <c r="G172" s="80">
        <f>((F104*(1-'5.Closing Stock &amp; W Capital'!$D$15))+(E104*'5.Closing Stock &amp; W Capital'!$D$15))*$C$152*G$124</f>
        <v>0</v>
      </c>
      <c r="H172" s="80">
        <f>((G104*(1-'5.Closing Stock &amp; W Capital'!$D$15))+(F104*'5.Closing Stock &amp; W Capital'!$D$15))*$C$152*H$124</f>
        <v>0</v>
      </c>
      <c r="I172" s="80">
        <f>((H104*(1-'5.Closing Stock &amp; W Capital'!$D$15))+(G104*'5.Closing Stock &amp; W Capital'!$D$15))*$C$152*I$124</f>
        <v>0</v>
      </c>
      <c r="J172" s="80">
        <f>((I104*(1-'5.Closing Stock &amp; W Capital'!$D$15))+(H104*'5.Closing Stock &amp; W Capital'!$D$15))*$C$152*J$124</f>
        <v>0</v>
      </c>
      <c r="K172" s="73"/>
      <c r="U172" s="73"/>
      <c r="V172" s="73"/>
      <c r="W172" s="73"/>
    </row>
    <row r="173" spans="1:23" ht="15.75" customHeight="1">
      <c r="A173" s="78">
        <f t="shared" si="54"/>
        <v>0</v>
      </c>
      <c r="B173" s="78"/>
      <c r="C173" s="79"/>
      <c r="D173" s="80">
        <f>(C105*(1-'5.Closing Stock &amp; W Capital'!$D$15))*$C173*D$124</f>
        <v>0</v>
      </c>
      <c r="E173" s="80">
        <f>((D105*(1-'5.Closing Stock &amp; W Capital'!$D$15))+(C105*'5.Closing Stock &amp; W Capital'!$D$15))*$C173*E$124</f>
        <v>0</v>
      </c>
      <c r="F173" s="80">
        <f>((E105*(1-'5.Closing Stock &amp; W Capital'!$D$15))+(D105*'5.Closing Stock &amp; W Capital'!$D$15))*$C$152*F$124</f>
        <v>0</v>
      </c>
      <c r="G173" s="80">
        <f>((F105*(1-'5.Closing Stock &amp; W Capital'!$D$15))+(E105*'5.Closing Stock &amp; W Capital'!$D$15))*$C$152*G$124</f>
        <v>0</v>
      </c>
      <c r="H173" s="80">
        <f>((G105*(1-'5.Closing Stock &amp; W Capital'!$D$15))+(F105*'5.Closing Stock &amp; W Capital'!$D$15))*$C$152*H$124</f>
        <v>0</v>
      </c>
      <c r="I173" s="80">
        <f>((H105*(1-'5.Closing Stock &amp; W Capital'!$D$15))+(G105*'5.Closing Stock &amp; W Capital'!$D$15))*$C$152*I$124</f>
        <v>0</v>
      </c>
      <c r="J173" s="80">
        <f>((I105*(1-'5.Closing Stock &amp; W Capital'!$D$15))+(H105*'5.Closing Stock &amp; W Capital'!$D$15))*$C$152*J$124</f>
        <v>0</v>
      </c>
      <c r="K173" s="73"/>
      <c r="U173" s="73"/>
      <c r="V173" s="73"/>
      <c r="W173" s="73"/>
    </row>
    <row r="174" spans="1:23" ht="15.75" customHeight="1">
      <c r="A174" s="78">
        <f t="shared" si="54"/>
        <v>0</v>
      </c>
      <c r="B174" s="78"/>
      <c r="C174" s="79"/>
      <c r="D174" s="80">
        <f>(C106*(1-'5.Closing Stock &amp; W Capital'!$D$15))*$C174*D$124</f>
        <v>0</v>
      </c>
      <c r="E174" s="80">
        <f>((D106*(1-'5.Closing Stock &amp; W Capital'!$D$15))+(C106*'5.Closing Stock &amp; W Capital'!$D$15))*$C174*E$124</f>
        <v>0</v>
      </c>
      <c r="F174" s="80">
        <f>((E106*(1-'5.Closing Stock &amp; W Capital'!$D$15))+(D106*'5.Closing Stock &amp; W Capital'!$D$15))*$C$152*F$124</f>
        <v>0</v>
      </c>
      <c r="G174" s="80">
        <f>((F106*(1-'5.Closing Stock &amp; W Capital'!$D$15))+(E106*'5.Closing Stock &amp; W Capital'!$D$15))*$C$152*G$124</f>
        <v>0</v>
      </c>
      <c r="H174" s="80">
        <f>((G106*(1-'5.Closing Stock &amp; W Capital'!$D$15))+(F106*'5.Closing Stock &amp; W Capital'!$D$15))*$C$152*H$124</f>
        <v>0</v>
      </c>
      <c r="I174" s="80">
        <f>((H106*(1-'5.Closing Stock &amp; W Capital'!$D$15))+(G106*'5.Closing Stock &amp; W Capital'!$D$15))*$C$152*I$124</f>
        <v>0</v>
      </c>
      <c r="J174" s="80">
        <f>((I106*(1-'5.Closing Stock &amp; W Capital'!$D$15))+(H106*'5.Closing Stock &amp; W Capital'!$D$15))*$C$152*J$124</f>
        <v>0</v>
      </c>
      <c r="K174" s="73"/>
      <c r="U174" s="73"/>
      <c r="V174" s="73"/>
      <c r="W174" s="73"/>
    </row>
    <row r="175" spans="1:23" ht="15.75" customHeight="1">
      <c r="A175" s="78" t="str">
        <f t="shared" si="54"/>
        <v>Pomegranate</v>
      </c>
      <c r="B175" s="78"/>
      <c r="C175" s="79"/>
      <c r="D175" s="80">
        <f>(C107*(1-'5.Closing Stock &amp; W Capital'!$D$15))*$C175*D$124</f>
        <v>0</v>
      </c>
      <c r="E175" s="80">
        <f>((D107*(1-'5.Closing Stock &amp; W Capital'!$D$15))+(C107*'5.Closing Stock &amp; W Capital'!$D$15))*$C175*E$124</f>
        <v>0</v>
      </c>
      <c r="F175" s="80">
        <f>((E107*(1-'5.Closing Stock &amp; W Capital'!$D$15))+(D107*'5.Closing Stock &amp; W Capital'!$D$15))*$C$152*F$124</f>
        <v>0</v>
      </c>
      <c r="G175" s="80">
        <f>((F107*(1-'5.Closing Stock &amp; W Capital'!$D$15))+(E107*'5.Closing Stock &amp; W Capital'!$D$15))*$C$152*G$124</f>
        <v>0</v>
      </c>
      <c r="H175" s="80">
        <f>((G107*(1-'5.Closing Stock &amp; W Capital'!$D$15))+(F107*'5.Closing Stock &amp; W Capital'!$D$15))*$C$152*H$124</f>
        <v>0</v>
      </c>
      <c r="I175" s="80">
        <f>((H107*(1-'5.Closing Stock &amp; W Capital'!$D$15))+(G107*'5.Closing Stock &amp; W Capital'!$D$15))*$C$152*I$124</f>
        <v>0</v>
      </c>
      <c r="J175" s="80">
        <f>((I107*(1-'5.Closing Stock &amp; W Capital'!$D$15))+(H107*'5.Closing Stock &amp; W Capital'!$D$15))*$C$152*J$124</f>
        <v>0</v>
      </c>
      <c r="K175" s="73"/>
      <c r="U175" s="73"/>
      <c r="V175" s="73"/>
      <c r="W175" s="73"/>
    </row>
    <row r="176" spans="1:23" ht="15.75" customHeight="1">
      <c r="A176" s="78" t="str">
        <f t="shared" si="54"/>
        <v>Custard Apple</v>
      </c>
      <c r="B176" s="78"/>
      <c r="C176" s="79"/>
      <c r="D176" s="80">
        <f>(C108*(1-'5.Closing Stock &amp; W Capital'!$D$15))*$C176*D$124</f>
        <v>0</v>
      </c>
      <c r="E176" s="80">
        <f>((D108*(1-'5.Closing Stock &amp; W Capital'!$D$15))+(C108*'5.Closing Stock &amp; W Capital'!$D$15))*$C176*E$124</f>
        <v>0</v>
      </c>
      <c r="F176" s="80">
        <f>((E108*(1-'5.Closing Stock &amp; W Capital'!$D$15))+(D108*'5.Closing Stock &amp; W Capital'!$D$15))*$C$152*F$124</f>
        <v>0</v>
      </c>
      <c r="G176" s="80">
        <f>((F108*(1-'5.Closing Stock &amp; W Capital'!$D$15))+(E108*'5.Closing Stock &amp; W Capital'!$D$15))*$C$152*G$124</f>
        <v>0</v>
      </c>
      <c r="H176" s="80">
        <f>((G108*(1-'5.Closing Stock &amp; W Capital'!$D$15))+(F108*'5.Closing Stock &amp; W Capital'!$D$15))*$C$152*H$124</f>
        <v>0</v>
      </c>
      <c r="I176" s="80">
        <f>((H108*(1-'5.Closing Stock &amp; W Capital'!$D$15))+(G108*'5.Closing Stock &amp; W Capital'!$D$15))*$C$152*I$124</f>
        <v>0</v>
      </c>
      <c r="J176" s="80">
        <f>((I108*(1-'5.Closing Stock &amp; W Capital'!$D$15))+(H108*'5.Closing Stock &amp; W Capital'!$D$15))*$C$152*J$124</f>
        <v>0</v>
      </c>
      <c r="K176" s="73"/>
      <c r="U176" s="73"/>
      <c r="V176" s="73"/>
      <c r="W176" s="73"/>
    </row>
    <row r="177" spans="1:23" ht="15.75" customHeight="1">
      <c r="A177" s="78" t="str">
        <f t="shared" si="54"/>
        <v>Guava</v>
      </c>
      <c r="B177" s="78"/>
      <c r="C177" s="79"/>
      <c r="D177" s="80">
        <f>(C109*(1-'5.Closing Stock &amp; W Capital'!$D$15))*$C177*D$124</f>
        <v>0</v>
      </c>
      <c r="E177" s="80">
        <f>((D109*(1-'5.Closing Stock &amp; W Capital'!$D$15))+(C109*'5.Closing Stock &amp; W Capital'!$D$15))*$C177*E$124</f>
        <v>0</v>
      </c>
      <c r="F177" s="80">
        <f>((E109*(1-'5.Closing Stock &amp; W Capital'!$D$15))+(D109*'5.Closing Stock &amp; W Capital'!$D$15))*$C$152*F$124</f>
        <v>0</v>
      </c>
      <c r="G177" s="80">
        <f>((F109*(1-'5.Closing Stock &amp; W Capital'!$D$15))+(E109*'5.Closing Stock &amp; W Capital'!$D$15))*$C$152*G$124</f>
        <v>0</v>
      </c>
      <c r="H177" s="80">
        <f>((G109*(1-'5.Closing Stock &amp; W Capital'!$D$15))+(F109*'5.Closing Stock &amp; W Capital'!$D$15))*$C$152*H$124</f>
        <v>0</v>
      </c>
      <c r="I177" s="80">
        <f>((H109*(1-'5.Closing Stock &amp; W Capital'!$D$15))+(G109*'5.Closing Stock &amp; W Capital'!$D$15))*$C$152*I$124</f>
        <v>0</v>
      </c>
      <c r="J177" s="80">
        <f>((I109*(1-'5.Closing Stock &amp; W Capital'!$D$15))+(H109*'5.Closing Stock &amp; W Capital'!$D$15))*$C$152*J$124</f>
        <v>0</v>
      </c>
      <c r="K177" s="73"/>
      <c r="U177" s="73"/>
      <c r="V177" s="73"/>
      <c r="W177" s="73"/>
    </row>
    <row r="178" spans="1:23" ht="15.75" customHeight="1">
      <c r="A178" s="78" t="str">
        <f t="shared" si="54"/>
        <v>Citrus</v>
      </c>
      <c r="B178" s="78"/>
      <c r="C178" s="79"/>
      <c r="D178" s="80">
        <f>(C110*(1-'5.Closing Stock &amp; W Capital'!$D$15))*$C178*D$124</f>
        <v>0</v>
      </c>
      <c r="E178" s="80">
        <f>((D110*(1-'5.Closing Stock &amp; W Capital'!$D$15))+(C110*'5.Closing Stock &amp; W Capital'!$D$15))*$C178*E$124</f>
        <v>0</v>
      </c>
      <c r="F178" s="80">
        <f>((E110*(1-'5.Closing Stock &amp; W Capital'!$D$15))+(D110*'5.Closing Stock &amp; W Capital'!$D$15))*$C$152*F$124</f>
        <v>0</v>
      </c>
      <c r="G178" s="80">
        <f>((F110*(1-'5.Closing Stock &amp; W Capital'!$D$15))+(E110*'5.Closing Stock &amp; W Capital'!$D$15))*$C$152*G$124</f>
        <v>0</v>
      </c>
      <c r="H178" s="80">
        <f>((G110*(1-'5.Closing Stock &amp; W Capital'!$D$15))+(F110*'5.Closing Stock &amp; W Capital'!$D$15))*$C$152*H$124</f>
        <v>0</v>
      </c>
      <c r="I178" s="80">
        <f>((H110*(1-'5.Closing Stock &amp; W Capital'!$D$15))+(G110*'5.Closing Stock &amp; W Capital'!$D$15))*$C$152*I$124</f>
        <v>0</v>
      </c>
      <c r="J178" s="80">
        <f>((I110*(1-'5.Closing Stock &amp; W Capital'!$D$15))+(H110*'5.Closing Stock &amp; W Capital'!$D$15))*$C$152*J$124</f>
        <v>0</v>
      </c>
      <c r="K178" s="73"/>
      <c r="U178" s="73"/>
      <c r="V178" s="73"/>
      <c r="W178" s="73"/>
    </row>
    <row r="179" spans="1:23" ht="15.75" customHeight="1">
      <c r="A179" s="78">
        <f t="shared" si="54"/>
        <v>0</v>
      </c>
      <c r="B179" s="78"/>
      <c r="C179" s="79"/>
      <c r="D179" s="80"/>
      <c r="E179" s="80"/>
      <c r="F179" s="80"/>
      <c r="G179" s="80"/>
      <c r="H179" s="80"/>
      <c r="I179" s="80"/>
      <c r="J179" s="80"/>
      <c r="K179" s="73"/>
      <c r="U179" s="73"/>
      <c r="V179" s="73"/>
      <c r="W179" s="73"/>
    </row>
    <row r="180" spans="1:23" ht="15.75" customHeight="1">
      <c r="A180" s="78"/>
      <c r="B180" s="78"/>
      <c r="C180" s="80"/>
      <c r="D180" s="80"/>
      <c r="E180" s="80"/>
      <c r="F180" s="80"/>
      <c r="G180" s="80"/>
      <c r="H180" s="80"/>
      <c r="I180" s="80"/>
      <c r="J180" s="80"/>
      <c r="K180" s="73"/>
      <c r="U180" s="73"/>
      <c r="V180" s="73"/>
      <c r="W180" s="73"/>
    </row>
    <row r="181" spans="1:23" ht="15.75" customHeight="1">
      <c r="A181" s="78" t="s">
        <v>665</v>
      </c>
      <c r="B181" s="78"/>
      <c r="C181" s="80"/>
      <c r="D181" s="80"/>
      <c r="E181" s="80"/>
      <c r="F181" s="80"/>
      <c r="G181" s="80"/>
      <c r="H181" s="80"/>
      <c r="I181" s="80"/>
      <c r="J181" s="80"/>
      <c r="K181" s="73"/>
      <c r="U181" s="73"/>
      <c r="V181" s="73"/>
      <c r="W181" s="73"/>
    </row>
    <row r="182" spans="1:23" ht="15.75" customHeight="1">
      <c r="A182" s="78" t="s">
        <v>657</v>
      </c>
      <c r="B182" s="78"/>
      <c r="C182" s="79">
        <v>4.5</v>
      </c>
      <c r="D182" s="80">
        <f>(C114*(1-'5.Closing Stock &amp; W Capital'!$D$15))*$C$182*D124</f>
        <v>0</v>
      </c>
      <c r="E182" s="80">
        <f>((D114*(1-'5.Closing Stock &amp; W Capital'!$D$15))+(C114*'5.Closing Stock &amp; W Capital'!$D$15))*$C$182*E124</f>
        <v>0</v>
      </c>
      <c r="F182" s="80">
        <f>((E114*(1-'5.Closing Stock &amp; W Capital'!$D$15))+(D114*'5.Closing Stock &amp; W Capital'!$D$15))*$C$182*F124</f>
        <v>0</v>
      </c>
      <c r="G182" s="80">
        <f>((F114*(1-'5.Closing Stock &amp; W Capital'!$D$15))+(E114*'5.Closing Stock &amp; W Capital'!$D$15))*$C$182*G124</f>
        <v>0</v>
      </c>
      <c r="H182" s="80">
        <f>((G114*(1-'5.Closing Stock &amp; W Capital'!$D$15))+(F114*'5.Closing Stock &amp; W Capital'!$D$15))*$C$182*H124</f>
        <v>0</v>
      </c>
      <c r="I182" s="80">
        <f>((H114*(1-'5.Closing Stock &amp; W Capital'!$D$15))+(G114*'5.Closing Stock &amp; W Capital'!$D$15))*$C$182*I124</f>
        <v>0</v>
      </c>
      <c r="J182" s="80">
        <f>((I114*(1-'5.Closing Stock &amp; W Capital'!$D$15))+(H114*'5.Closing Stock &amp; W Capital'!$D$15))*$C$182*J124</f>
        <v>0</v>
      </c>
      <c r="K182" s="73"/>
      <c r="U182" s="73"/>
      <c r="V182" s="73"/>
      <c r="W182" s="73"/>
    </row>
    <row r="183" spans="1:23" ht="15.75" customHeight="1">
      <c r="A183" s="78" t="s">
        <v>658</v>
      </c>
      <c r="B183" s="78"/>
      <c r="C183" s="79">
        <v>3</v>
      </c>
      <c r="D183" s="80">
        <f>(C115*(1-'5.Closing Stock &amp; W Capital'!$D$15))*$C$183*D124</f>
        <v>0</v>
      </c>
      <c r="E183" s="80">
        <f>((D115*(1-'5.Closing Stock &amp; W Capital'!$D$15))+(C115*'5.Closing Stock &amp; W Capital'!$D$15))*$C$183*E124</f>
        <v>0</v>
      </c>
      <c r="F183" s="80">
        <f>((E115*(1-'5.Closing Stock &amp; W Capital'!$D$15))+(D115*'5.Closing Stock &amp; W Capital'!$D$15))*$C$183*F124</f>
        <v>0</v>
      </c>
      <c r="G183" s="80">
        <f>((F115*(1-'5.Closing Stock &amp; W Capital'!$D$15))+(E115*'5.Closing Stock &amp; W Capital'!$D$15))*$C$183*G124</f>
        <v>0</v>
      </c>
      <c r="H183" s="80">
        <f>((G115*(1-'5.Closing Stock &amp; W Capital'!$D$15))+(F115*'5.Closing Stock &amp; W Capital'!$D$15))*$C$183*H124</f>
        <v>0</v>
      </c>
      <c r="I183" s="80">
        <f>((H115*(1-'5.Closing Stock &amp; W Capital'!$D$15))+(G115*'5.Closing Stock &amp; W Capital'!$D$15))*$C$183*I124</f>
        <v>0</v>
      </c>
      <c r="J183" s="80">
        <f>((I115*(1-'5.Closing Stock &amp; W Capital'!$D$15))+(H115*'5.Closing Stock &amp; W Capital'!$D$15))*$C$183*J124</f>
        <v>0</v>
      </c>
      <c r="K183" s="73"/>
      <c r="U183" s="73"/>
      <c r="V183" s="73"/>
      <c r="W183" s="73"/>
    </row>
    <row r="184" spans="1:23" ht="15.75" customHeight="1">
      <c r="A184" s="78" t="s">
        <v>659</v>
      </c>
      <c r="B184" s="78"/>
      <c r="C184" s="79">
        <v>30</v>
      </c>
      <c r="D184" s="80">
        <f>(C116*(1-'5.Closing Stock &amp; W Capital'!$D$15))*$C$184*D124</f>
        <v>0</v>
      </c>
      <c r="E184" s="80">
        <f>((D116*(1-'5.Closing Stock &amp; W Capital'!$D$15))+(C116*'5.Closing Stock &amp; W Capital'!$D$15))*$C$184*E124</f>
        <v>0</v>
      </c>
      <c r="F184" s="80">
        <f>((E116*(1-'5.Closing Stock &amp; W Capital'!$D$15))+(D116*'5.Closing Stock &amp; W Capital'!$D$15))*$C$184*F124</f>
        <v>0</v>
      </c>
      <c r="G184" s="80">
        <f>((F116*(1-'5.Closing Stock &amp; W Capital'!$D$15))+(E116*'5.Closing Stock &amp; W Capital'!$D$15))*$C$184*G124</f>
        <v>0</v>
      </c>
      <c r="H184" s="80">
        <f>((G116*(1-'5.Closing Stock &amp; W Capital'!$D$15))+(F116*'5.Closing Stock &amp; W Capital'!$D$15))*$C$184*H124</f>
        <v>0</v>
      </c>
      <c r="I184" s="80">
        <f>((H116*(1-'5.Closing Stock &amp; W Capital'!$D$15))+(G116*'5.Closing Stock &amp; W Capital'!$D$15))*$C$184*I124</f>
        <v>0</v>
      </c>
      <c r="J184" s="80">
        <f>((I116*(1-'5.Closing Stock &amp; W Capital'!$D$15))+(H116*'5.Closing Stock &amp; W Capital'!$D$15))*$C$184*J124</f>
        <v>0</v>
      </c>
      <c r="K184" s="73"/>
      <c r="U184" s="73"/>
      <c r="V184" s="73"/>
      <c r="W184" s="73"/>
    </row>
    <row r="185" spans="1:23" ht="15.75" customHeight="1">
      <c r="A185" s="78"/>
      <c r="B185" s="78"/>
      <c r="C185" s="80"/>
      <c r="D185" s="80"/>
      <c r="E185" s="80"/>
      <c r="F185" s="80"/>
      <c r="G185" s="80"/>
      <c r="H185" s="80"/>
      <c r="I185" s="80"/>
      <c r="J185" s="80"/>
      <c r="K185" s="73"/>
      <c r="U185" s="73"/>
      <c r="V185" s="73"/>
      <c r="W185" s="73"/>
    </row>
    <row r="186" spans="1:23" ht="15.75" customHeight="1">
      <c r="A186" s="78" t="s">
        <v>660</v>
      </c>
      <c r="B186" s="78"/>
      <c r="C186" s="80"/>
      <c r="D186" s="80"/>
      <c r="E186" s="80"/>
      <c r="F186" s="80"/>
      <c r="G186" s="80"/>
      <c r="H186" s="80"/>
      <c r="I186" s="80"/>
      <c r="J186" s="80"/>
      <c r="K186" s="73"/>
      <c r="U186" s="73"/>
      <c r="V186" s="73"/>
      <c r="W186" s="73"/>
    </row>
    <row r="187" spans="1:23" ht="15.75" customHeight="1">
      <c r="A187" s="78" t="s">
        <v>661</v>
      </c>
      <c r="B187" s="78"/>
      <c r="C187" s="79">
        <v>2500</v>
      </c>
      <c r="D187" s="80">
        <f>(C118*(1-'5.Closing Stock &amp; W Capital'!$D$15))*$C$187*D124</f>
        <v>0</v>
      </c>
      <c r="E187" s="80">
        <f>((D118*(1-'5.Closing Stock &amp; W Capital'!$D$15))+(C118*'5.Closing Stock &amp; W Capital'!$D$15))*$C$187*E124</f>
        <v>0</v>
      </c>
      <c r="F187" s="80">
        <f>((E118*(1-'5.Closing Stock &amp; W Capital'!$D$15))+(D118*'5.Closing Stock &amp; W Capital'!$D$15))*$C$187*F124</f>
        <v>0</v>
      </c>
      <c r="G187" s="80">
        <f>((F118*(1-'5.Closing Stock &amp; W Capital'!$D$15))+(E118*'5.Closing Stock &amp; W Capital'!$D$15))*$C$187*G124</f>
        <v>0</v>
      </c>
      <c r="H187" s="80">
        <f>((G118*(1-'5.Closing Stock &amp; W Capital'!$D$15))+(F118*'5.Closing Stock &amp; W Capital'!$D$15))*$C$187*H124</f>
        <v>0</v>
      </c>
      <c r="I187" s="80">
        <f>((H118*(1-'5.Closing Stock &amp; W Capital'!$D$15))+(G118*'5.Closing Stock &amp; W Capital'!$D$15))*$C$187*I124</f>
        <v>0</v>
      </c>
      <c r="J187" s="80">
        <f>((I118*(1-'5.Closing Stock &amp; W Capital'!$D$15))+(H118*'5.Closing Stock &amp; W Capital'!$D$15))*$C$187*J124</f>
        <v>0</v>
      </c>
      <c r="K187" s="73"/>
      <c r="U187" s="286"/>
      <c r="V187" s="286"/>
      <c r="W187" s="286"/>
    </row>
    <row r="188" spans="1:23" ht="15.75" customHeight="1">
      <c r="A188" s="78" t="s">
        <v>662</v>
      </c>
      <c r="B188" s="78"/>
      <c r="C188" s="79">
        <v>2200</v>
      </c>
      <c r="D188" s="80">
        <f>(C119*(1-'5.Closing Stock &amp; W Capital'!$D$15))*$C$188*D124</f>
        <v>0</v>
      </c>
      <c r="E188" s="80">
        <f>((D119*(1-'5.Closing Stock &amp; W Capital'!$D$15))+(C119*'5.Closing Stock &amp; W Capital'!$D$15))*$C$188*E124</f>
        <v>0</v>
      </c>
      <c r="F188" s="80">
        <f>((E119*(1-'5.Closing Stock &amp; W Capital'!$D$15))+(D119*'5.Closing Stock &amp; W Capital'!$D$15))*$C$188*F124</f>
        <v>0</v>
      </c>
      <c r="G188" s="80">
        <f>((F119*(1-'5.Closing Stock &amp; W Capital'!$D$15))+(E119*'5.Closing Stock &amp; W Capital'!$D$15))*$C$188*G124</f>
        <v>0</v>
      </c>
      <c r="H188" s="80">
        <f>((G119*(1-'5.Closing Stock &amp; W Capital'!$D$15))+(F119*'5.Closing Stock &amp; W Capital'!$D$15))*$C$188*H124</f>
        <v>0</v>
      </c>
      <c r="I188" s="80">
        <f>((H119*(1-'5.Closing Stock &amp; W Capital'!$D$15))+(G119*'5.Closing Stock &amp; W Capital'!$D$15))*$C$188*I124</f>
        <v>0</v>
      </c>
      <c r="J188" s="80">
        <f>((I119*(1-'5.Closing Stock &amp; W Capital'!$D$15))+(H119*'5.Closing Stock &amp; W Capital'!$D$15))*$C$188*J124</f>
        <v>0</v>
      </c>
      <c r="K188" s="73"/>
      <c r="U188" s="73"/>
      <c r="V188" s="73"/>
      <c r="W188" s="73"/>
    </row>
    <row r="189" spans="1:23" ht="15.75" customHeight="1">
      <c r="A189" s="78"/>
      <c r="B189" s="78"/>
      <c r="C189" s="80"/>
      <c r="D189" s="80"/>
      <c r="E189" s="80"/>
      <c r="F189" s="80"/>
      <c r="G189" s="80"/>
      <c r="H189" s="80"/>
      <c r="I189" s="80"/>
      <c r="J189" s="80"/>
      <c r="K189" s="73"/>
      <c r="U189" s="73"/>
      <c r="V189" s="73"/>
      <c r="W189" s="73"/>
    </row>
    <row r="190" spans="1:23" ht="15.75" customHeight="1">
      <c r="A190" s="78"/>
      <c r="B190" s="78"/>
      <c r="C190" s="80"/>
      <c r="D190" s="80"/>
      <c r="E190" s="80"/>
      <c r="F190" s="80"/>
      <c r="G190" s="80"/>
      <c r="H190" s="80"/>
      <c r="I190" s="80"/>
      <c r="J190" s="80"/>
      <c r="K190" s="73"/>
      <c r="U190" s="73"/>
      <c r="V190" s="73"/>
      <c r="W190" s="73"/>
    </row>
    <row r="191" spans="1:23" ht="15.75" customHeight="1">
      <c r="A191" s="81" t="s">
        <v>345</v>
      </c>
      <c r="B191" s="81"/>
      <c r="C191" s="82"/>
      <c r="D191" s="82">
        <f t="shared" ref="D191:J191" si="55">SUM(D130:D188)</f>
        <v>0</v>
      </c>
      <c r="E191" s="82">
        <f t="shared" si="55"/>
        <v>0</v>
      </c>
      <c r="F191" s="82">
        <f t="shared" si="55"/>
        <v>0</v>
      </c>
      <c r="G191" s="82">
        <f t="shared" si="55"/>
        <v>0</v>
      </c>
      <c r="H191" s="82">
        <f t="shared" si="55"/>
        <v>0</v>
      </c>
      <c r="I191" s="82">
        <f t="shared" si="55"/>
        <v>0</v>
      </c>
      <c r="J191" s="82">
        <f t="shared" si="55"/>
        <v>0</v>
      </c>
      <c r="K191" s="73"/>
      <c r="U191" s="73"/>
      <c r="V191" s="73"/>
      <c r="W191" s="73"/>
    </row>
    <row r="192" spans="1:23" ht="15.75" customHeight="1">
      <c r="A192" s="78"/>
      <c r="B192" s="78"/>
      <c r="C192" s="80"/>
      <c r="D192" s="80"/>
      <c r="E192" s="80"/>
      <c r="F192" s="80"/>
      <c r="G192" s="80"/>
      <c r="H192" s="80"/>
      <c r="I192" s="80"/>
      <c r="J192" s="80"/>
      <c r="K192" s="73"/>
      <c r="U192" s="73"/>
      <c r="V192" s="73"/>
      <c r="W192" s="73"/>
    </row>
    <row r="193" spans="1:23" ht="15.75" customHeight="1">
      <c r="A193" s="78"/>
      <c r="B193" s="78"/>
      <c r="C193" s="80"/>
      <c r="D193" s="80"/>
      <c r="E193" s="80"/>
      <c r="F193" s="80"/>
      <c r="G193" s="80"/>
      <c r="H193" s="80"/>
      <c r="I193" s="80"/>
      <c r="J193" s="80"/>
      <c r="K193" s="73"/>
      <c r="U193" s="73"/>
      <c r="V193" s="73"/>
      <c r="W193" s="73"/>
    </row>
    <row r="194" spans="1:23" ht="15.75" customHeight="1">
      <c r="A194" s="81" t="s">
        <v>573</v>
      </c>
      <c r="B194" s="81"/>
      <c r="C194" s="80"/>
      <c r="D194" s="80"/>
      <c r="E194" s="80"/>
      <c r="F194" s="80"/>
      <c r="G194" s="80"/>
      <c r="H194" s="80"/>
      <c r="I194" s="80"/>
      <c r="J194" s="80"/>
      <c r="K194" s="73"/>
      <c r="U194" s="73"/>
      <c r="V194" s="73"/>
      <c r="W194" s="73"/>
    </row>
    <row r="195" spans="1:23" ht="15.75" customHeight="1">
      <c r="A195" s="81" t="str">
        <f>A128</f>
        <v>Seeds (Rate/KG)</v>
      </c>
      <c r="B195" s="81"/>
      <c r="C195" s="80"/>
      <c r="D195" s="80"/>
      <c r="E195" s="80"/>
      <c r="F195" s="80"/>
      <c r="G195" s="80"/>
      <c r="H195" s="80"/>
      <c r="I195" s="80"/>
      <c r="J195" s="80"/>
      <c r="K195" s="73"/>
      <c r="U195" s="73"/>
      <c r="V195" s="73"/>
      <c r="W195" s="73"/>
    </row>
    <row r="196" spans="1:23" ht="15.75" customHeight="1">
      <c r="A196" s="73" t="s">
        <v>346</v>
      </c>
      <c r="B196" s="73"/>
      <c r="C196" s="73"/>
      <c r="D196" s="73"/>
      <c r="E196" s="73"/>
      <c r="F196" s="73"/>
      <c r="G196" s="73"/>
      <c r="H196" s="73"/>
      <c r="I196" s="73"/>
      <c r="J196" s="73"/>
      <c r="K196" s="73"/>
      <c r="U196" s="73"/>
      <c r="V196" s="73"/>
      <c r="W196" s="73"/>
    </row>
    <row r="197" spans="1:23" ht="15.75" customHeight="1">
      <c r="A197" s="78" t="str">
        <f t="shared" ref="A197:A238" si="56">A130</f>
        <v>Soybean</v>
      </c>
      <c r="B197" s="73"/>
      <c r="C197" s="79">
        <v>75</v>
      </c>
      <c r="D197" s="80">
        <f t="shared" ref="D197:J197" si="57">C62*$C197*D$124</f>
        <v>0</v>
      </c>
      <c r="E197" s="80">
        <f t="shared" si="57"/>
        <v>0</v>
      </c>
      <c r="F197" s="80">
        <f t="shared" si="57"/>
        <v>0</v>
      </c>
      <c r="G197" s="80">
        <f t="shared" si="57"/>
        <v>0</v>
      </c>
      <c r="H197" s="80">
        <f t="shared" si="57"/>
        <v>0</v>
      </c>
      <c r="I197" s="80">
        <f t="shared" si="57"/>
        <v>0</v>
      </c>
      <c r="J197" s="80">
        <f t="shared" si="57"/>
        <v>0</v>
      </c>
      <c r="K197" s="73"/>
      <c r="U197" s="73"/>
      <c r="V197" s="73"/>
      <c r="W197" s="73"/>
    </row>
    <row r="198" spans="1:23" ht="15.75" customHeight="1">
      <c r="A198" s="78" t="str">
        <f t="shared" si="56"/>
        <v>Red Gram/Tur</v>
      </c>
      <c r="B198" s="78"/>
      <c r="C198" s="79">
        <v>75</v>
      </c>
      <c r="D198" s="80">
        <f t="shared" ref="D198:J198" si="58">C63*$C198*D$124</f>
        <v>0</v>
      </c>
      <c r="E198" s="80">
        <f t="shared" si="58"/>
        <v>0</v>
      </c>
      <c r="F198" s="80">
        <f t="shared" si="58"/>
        <v>0</v>
      </c>
      <c r="G198" s="80">
        <f t="shared" si="58"/>
        <v>0</v>
      </c>
      <c r="H198" s="80">
        <f t="shared" si="58"/>
        <v>0</v>
      </c>
      <c r="I198" s="80">
        <f t="shared" si="58"/>
        <v>0</v>
      </c>
      <c r="J198" s="80">
        <f t="shared" si="58"/>
        <v>0</v>
      </c>
      <c r="K198" s="73"/>
      <c r="U198" s="73"/>
      <c r="V198" s="73"/>
      <c r="W198" s="73"/>
    </row>
    <row r="199" spans="1:23" ht="15.75" customHeight="1">
      <c r="A199" s="78" t="str">
        <f t="shared" si="56"/>
        <v>Paddy/Rice</v>
      </c>
      <c r="B199" s="78"/>
      <c r="C199" s="79">
        <v>50</v>
      </c>
      <c r="D199" s="80">
        <f t="shared" ref="D199:J199" si="59">C64*$C199*D$124</f>
        <v>0</v>
      </c>
      <c r="E199" s="80">
        <f t="shared" si="59"/>
        <v>0</v>
      </c>
      <c r="F199" s="80">
        <f t="shared" si="59"/>
        <v>0</v>
      </c>
      <c r="G199" s="80">
        <f t="shared" si="59"/>
        <v>0</v>
      </c>
      <c r="H199" s="80">
        <f t="shared" si="59"/>
        <v>0</v>
      </c>
      <c r="I199" s="80">
        <f t="shared" si="59"/>
        <v>0</v>
      </c>
      <c r="J199" s="80">
        <f t="shared" si="59"/>
        <v>0</v>
      </c>
      <c r="K199" s="73"/>
      <c r="U199" s="73"/>
      <c r="V199" s="73"/>
      <c r="W199" s="73"/>
    </row>
    <row r="200" spans="1:23" ht="15.75" customHeight="1">
      <c r="A200" s="78" t="str">
        <f t="shared" si="56"/>
        <v>Green Gram/ Moong</v>
      </c>
      <c r="B200" s="78"/>
      <c r="C200" s="79">
        <v>80</v>
      </c>
      <c r="D200" s="80">
        <f t="shared" ref="D200:J200" si="60">C65*$C200*D$124</f>
        <v>0</v>
      </c>
      <c r="E200" s="80">
        <f t="shared" si="60"/>
        <v>0</v>
      </c>
      <c r="F200" s="80">
        <f t="shared" si="60"/>
        <v>0</v>
      </c>
      <c r="G200" s="80">
        <f t="shared" si="60"/>
        <v>0</v>
      </c>
      <c r="H200" s="80">
        <f t="shared" si="60"/>
        <v>0</v>
      </c>
      <c r="I200" s="80">
        <f t="shared" si="60"/>
        <v>0</v>
      </c>
      <c r="J200" s="80">
        <f t="shared" si="60"/>
        <v>0</v>
      </c>
      <c r="K200" s="73"/>
      <c r="L200" s="73"/>
      <c r="M200" s="73"/>
      <c r="N200" s="73"/>
      <c r="O200" s="73"/>
      <c r="P200" s="73"/>
      <c r="Q200" s="73"/>
      <c r="R200" s="73"/>
      <c r="S200" s="73"/>
      <c r="T200" s="73"/>
      <c r="U200" s="73"/>
      <c r="V200" s="73"/>
      <c r="W200" s="73"/>
    </row>
    <row r="201" spans="1:23" ht="15.75" customHeight="1">
      <c r="A201" s="78" t="str">
        <f t="shared" si="56"/>
        <v>Maize</v>
      </c>
      <c r="B201" s="78"/>
      <c r="C201" s="79">
        <v>0</v>
      </c>
      <c r="D201" s="80">
        <f t="shared" ref="D201:J201" si="61">C66*$C201*D$124</f>
        <v>0</v>
      </c>
      <c r="E201" s="80">
        <f t="shared" si="61"/>
        <v>0</v>
      </c>
      <c r="F201" s="80">
        <f t="shared" si="61"/>
        <v>0</v>
      </c>
      <c r="G201" s="80">
        <f t="shared" si="61"/>
        <v>0</v>
      </c>
      <c r="H201" s="80">
        <f t="shared" si="61"/>
        <v>0</v>
      </c>
      <c r="I201" s="80">
        <f t="shared" si="61"/>
        <v>0</v>
      </c>
      <c r="J201" s="80">
        <f t="shared" si="61"/>
        <v>0</v>
      </c>
      <c r="K201" s="73"/>
      <c r="L201" s="73"/>
      <c r="M201" s="73"/>
      <c r="N201" s="73"/>
      <c r="O201" s="73"/>
      <c r="P201" s="73"/>
      <c r="Q201" s="73"/>
      <c r="R201" s="73"/>
      <c r="S201" s="73"/>
      <c r="T201" s="73"/>
      <c r="U201" s="73"/>
      <c r="V201" s="73"/>
      <c r="W201" s="73"/>
    </row>
    <row r="202" spans="1:23" ht="15.75" customHeight="1">
      <c r="A202" s="78" t="str">
        <f t="shared" si="56"/>
        <v>Black Gram/Udid</v>
      </c>
      <c r="B202" s="78"/>
      <c r="C202" s="79">
        <v>0</v>
      </c>
      <c r="D202" s="80">
        <f t="shared" ref="D202:J202" si="62">C67*$C202*D$124</f>
        <v>0</v>
      </c>
      <c r="E202" s="80">
        <f t="shared" si="62"/>
        <v>0</v>
      </c>
      <c r="F202" s="80">
        <f t="shared" si="62"/>
        <v>0</v>
      </c>
      <c r="G202" s="80">
        <f t="shared" si="62"/>
        <v>0</v>
      </c>
      <c r="H202" s="80">
        <f t="shared" si="62"/>
        <v>0</v>
      </c>
      <c r="I202" s="80">
        <f t="shared" si="62"/>
        <v>0</v>
      </c>
      <c r="J202" s="80">
        <f t="shared" si="62"/>
        <v>0</v>
      </c>
      <c r="K202" s="73"/>
      <c r="L202" s="73"/>
      <c r="M202" s="73"/>
      <c r="N202" s="73"/>
      <c r="O202" s="73"/>
      <c r="P202" s="73"/>
      <c r="Q202" s="73"/>
      <c r="R202" s="73"/>
      <c r="S202" s="73"/>
      <c r="T202" s="73"/>
      <c r="U202" s="73"/>
      <c r="V202" s="73"/>
      <c r="W202" s="73"/>
    </row>
    <row r="203" spans="1:23" ht="15.75" customHeight="1">
      <c r="A203" s="78" t="str">
        <f t="shared" si="56"/>
        <v>Bajra</v>
      </c>
      <c r="B203" s="78"/>
      <c r="C203" s="79">
        <v>0</v>
      </c>
      <c r="D203" s="80">
        <f t="shared" ref="D203:J203" si="63">C68*$C203*D$124</f>
        <v>0</v>
      </c>
      <c r="E203" s="80">
        <f t="shared" si="63"/>
        <v>0</v>
      </c>
      <c r="F203" s="80">
        <f t="shared" si="63"/>
        <v>0</v>
      </c>
      <c r="G203" s="80">
        <f t="shared" si="63"/>
        <v>0</v>
      </c>
      <c r="H203" s="80">
        <f t="shared" si="63"/>
        <v>0</v>
      </c>
      <c r="I203" s="80">
        <f t="shared" si="63"/>
        <v>0</v>
      </c>
      <c r="J203" s="80">
        <f t="shared" si="63"/>
        <v>0</v>
      </c>
      <c r="K203" s="73"/>
      <c r="L203" s="73"/>
      <c r="M203" s="73"/>
      <c r="N203" s="73"/>
      <c r="O203" s="73"/>
      <c r="P203" s="73"/>
      <c r="Q203" s="73"/>
      <c r="R203" s="73"/>
      <c r="S203" s="73"/>
      <c r="T203" s="73"/>
      <c r="U203" s="73"/>
      <c r="V203" s="73"/>
      <c r="W203" s="73"/>
    </row>
    <row r="204" spans="1:23" ht="15.75" customHeight="1">
      <c r="A204" s="78" t="str">
        <f t="shared" si="56"/>
        <v>Jawar</v>
      </c>
      <c r="B204" s="78"/>
      <c r="C204" s="79">
        <v>0</v>
      </c>
      <c r="D204" s="80">
        <f t="shared" ref="D204:J204" si="64">C69*$C204*D$124</f>
        <v>0</v>
      </c>
      <c r="E204" s="80">
        <f t="shared" si="64"/>
        <v>0</v>
      </c>
      <c r="F204" s="80">
        <f t="shared" si="64"/>
        <v>0</v>
      </c>
      <c r="G204" s="80">
        <f t="shared" si="64"/>
        <v>0</v>
      </c>
      <c r="H204" s="80">
        <f t="shared" si="64"/>
        <v>0</v>
      </c>
      <c r="I204" s="80">
        <f t="shared" si="64"/>
        <v>0</v>
      </c>
      <c r="J204" s="80">
        <f t="shared" si="64"/>
        <v>0</v>
      </c>
      <c r="K204" s="73"/>
      <c r="L204" s="73"/>
      <c r="M204" s="73"/>
      <c r="N204" s="73"/>
      <c r="O204" s="73"/>
      <c r="P204" s="73"/>
      <c r="Q204" s="73"/>
      <c r="R204" s="73"/>
      <c r="S204" s="73"/>
      <c r="T204" s="73"/>
      <c r="U204" s="73"/>
      <c r="V204" s="73"/>
      <c r="W204" s="73"/>
    </row>
    <row r="205" spans="1:23" ht="15.75" customHeight="1">
      <c r="A205" s="81" t="str">
        <f t="shared" si="56"/>
        <v>Rabi Crop</v>
      </c>
      <c r="B205" s="78"/>
      <c r="C205" s="79"/>
      <c r="D205" s="80">
        <f t="shared" ref="D205:J205" si="65">C70*$C205*D$124</f>
        <v>0</v>
      </c>
      <c r="E205" s="80">
        <f t="shared" si="65"/>
        <v>0</v>
      </c>
      <c r="F205" s="80">
        <f t="shared" si="65"/>
        <v>0</v>
      </c>
      <c r="G205" s="80">
        <f t="shared" si="65"/>
        <v>0</v>
      </c>
      <c r="H205" s="80">
        <f t="shared" si="65"/>
        <v>0</v>
      </c>
      <c r="I205" s="80">
        <f t="shared" si="65"/>
        <v>0</v>
      </c>
      <c r="J205" s="80">
        <f t="shared" si="65"/>
        <v>0</v>
      </c>
      <c r="K205" s="73"/>
      <c r="L205" s="73"/>
      <c r="M205" s="73"/>
      <c r="N205" s="73"/>
      <c r="O205" s="73"/>
      <c r="P205" s="73"/>
      <c r="Q205" s="73"/>
      <c r="R205" s="73"/>
      <c r="S205" s="73"/>
      <c r="T205" s="73"/>
      <c r="U205" s="73"/>
      <c r="V205" s="73"/>
      <c r="W205" s="73"/>
    </row>
    <row r="206" spans="1:23" ht="15.75" customHeight="1">
      <c r="A206" s="78" t="str">
        <f t="shared" si="56"/>
        <v>Wheat</v>
      </c>
      <c r="B206" s="78"/>
      <c r="C206" s="79">
        <v>25</v>
      </c>
      <c r="D206" s="80">
        <f t="shared" ref="D206:J206" si="66">C71*$C206*D$124</f>
        <v>0</v>
      </c>
      <c r="E206" s="80">
        <f t="shared" si="66"/>
        <v>0</v>
      </c>
      <c r="F206" s="80">
        <f t="shared" si="66"/>
        <v>0</v>
      </c>
      <c r="G206" s="80">
        <f t="shared" si="66"/>
        <v>0</v>
      </c>
      <c r="H206" s="80">
        <f t="shared" si="66"/>
        <v>0</v>
      </c>
      <c r="I206" s="80">
        <f t="shared" si="66"/>
        <v>0</v>
      </c>
      <c r="J206" s="80">
        <f t="shared" si="66"/>
        <v>0</v>
      </c>
      <c r="K206" s="73"/>
      <c r="L206" s="73"/>
      <c r="M206" s="73"/>
      <c r="N206" s="73"/>
      <c r="O206" s="73"/>
      <c r="P206" s="73"/>
      <c r="Q206" s="73"/>
      <c r="R206" s="73"/>
      <c r="S206" s="73"/>
      <c r="T206" s="73"/>
      <c r="U206" s="73"/>
      <c r="V206" s="73"/>
      <c r="W206" s="73"/>
    </row>
    <row r="207" spans="1:23" ht="15.75" customHeight="1">
      <c r="A207" s="78" t="str">
        <f t="shared" si="56"/>
        <v>Bengal Gram/Channa</v>
      </c>
      <c r="B207" s="78"/>
      <c r="C207" s="79">
        <v>70</v>
      </c>
      <c r="D207" s="80">
        <f t="shared" ref="D207:J207" si="67">C72*$C207*D$124</f>
        <v>0</v>
      </c>
      <c r="E207" s="80">
        <f t="shared" si="67"/>
        <v>0</v>
      </c>
      <c r="F207" s="80">
        <f t="shared" si="67"/>
        <v>0</v>
      </c>
      <c r="G207" s="80">
        <f t="shared" si="67"/>
        <v>0</v>
      </c>
      <c r="H207" s="80">
        <f t="shared" si="67"/>
        <v>0</v>
      </c>
      <c r="I207" s="80">
        <f t="shared" si="67"/>
        <v>0</v>
      </c>
      <c r="J207" s="80">
        <f t="shared" si="67"/>
        <v>0</v>
      </c>
      <c r="K207" s="73"/>
      <c r="L207" s="73"/>
      <c r="M207" s="73"/>
      <c r="N207" s="73"/>
      <c r="O207" s="73"/>
      <c r="P207" s="73"/>
      <c r="Q207" s="73"/>
      <c r="R207" s="73"/>
      <c r="S207" s="73"/>
      <c r="T207" s="73"/>
      <c r="U207" s="73"/>
      <c r="V207" s="73"/>
      <c r="W207" s="73"/>
    </row>
    <row r="208" spans="1:23" ht="15.75" customHeight="1">
      <c r="A208" s="78" t="str">
        <f t="shared" si="56"/>
        <v>Jawar</v>
      </c>
      <c r="B208" s="78"/>
      <c r="C208" s="79">
        <v>0</v>
      </c>
      <c r="D208" s="80">
        <f t="shared" ref="D208:J208" si="68">C73*$C208*D$124</f>
        <v>0</v>
      </c>
      <c r="E208" s="80">
        <f t="shared" si="68"/>
        <v>0</v>
      </c>
      <c r="F208" s="80">
        <f t="shared" si="68"/>
        <v>0</v>
      </c>
      <c r="G208" s="80">
        <f t="shared" si="68"/>
        <v>0</v>
      </c>
      <c r="H208" s="80">
        <f t="shared" si="68"/>
        <v>0</v>
      </c>
      <c r="I208" s="80">
        <f t="shared" si="68"/>
        <v>0</v>
      </c>
      <c r="J208" s="80">
        <f t="shared" si="68"/>
        <v>0</v>
      </c>
      <c r="K208" s="73"/>
      <c r="L208" s="73"/>
      <c r="M208" s="73"/>
      <c r="N208" s="73"/>
      <c r="O208" s="73"/>
      <c r="P208" s="73"/>
      <c r="Q208" s="73"/>
      <c r="R208" s="73"/>
      <c r="S208" s="73"/>
      <c r="T208" s="73"/>
      <c r="U208" s="73"/>
      <c r="V208" s="73"/>
      <c r="W208" s="73"/>
    </row>
    <row r="209" spans="1:23" ht="15.75" customHeight="1">
      <c r="A209" s="78" t="str">
        <f t="shared" si="56"/>
        <v>Maize</v>
      </c>
      <c r="B209" s="78"/>
      <c r="C209" s="79">
        <v>0</v>
      </c>
      <c r="D209" s="80">
        <f t="shared" ref="D209:J209" si="69">C74*$C209*D$124</f>
        <v>0</v>
      </c>
      <c r="E209" s="80">
        <f t="shared" si="69"/>
        <v>0</v>
      </c>
      <c r="F209" s="80">
        <f t="shared" si="69"/>
        <v>0</v>
      </c>
      <c r="G209" s="80">
        <f t="shared" si="69"/>
        <v>0</v>
      </c>
      <c r="H209" s="80">
        <f t="shared" si="69"/>
        <v>0</v>
      </c>
      <c r="I209" s="80">
        <f t="shared" si="69"/>
        <v>0</v>
      </c>
      <c r="J209" s="80">
        <f t="shared" si="69"/>
        <v>0</v>
      </c>
      <c r="K209" s="73"/>
      <c r="L209" s="73"/>
      <c r="M209" s="73"/>
      <c r="N209" s="73"/>
      <c r="O209" s="73"/>
      <c r="P209" s="73"/>
      <c r="Q209" s="73"/>
      <c r="R209" s="73"/>
      <c r="S209" s="73"/>
      <c r="T209" s="73"/>
      <c r="U209" s="73"/>
      <c r="V209" s="73"/>
      <c r="W209" s="73"/>
    </row>
    <row r="210" spans="1:23" ht="15.75" customHeight="1">
      <c r="A210" s="78" t="str">
        <f t="shared" si="56"/>
        <v>Safflower</v>
      </c>
      <c r="B210" s="78"/>
      <c r="C210" s="79">
        <v>0</v>
      </c>
      <c r="D210" s="80">
        <f t="shared" ref="D210:J210" si="70">C75*$C210*D$124</f>
        <v>0</v>
      </c>
      <c r="E210" s="80">
        <f t="shared" si="70"/>
        <v>0</v>
      </c>
      <c r="F210" s="80">
        <f t="shared" si="70"/>
        <v>0</v>
      </c>
      <c r="G210" s="80">
        <f t="shared" si="70"/>
        <v>0</v>
      </c>
      <c r="H210" s="80">
        <f t="shared" si="70"/>
        <v>0</v>
      </c>
      <c r="I210" s="80">
        <f t="shared" si="70"/>
        <v>0</v>
      </c>
      <c r="J210" s="80">
        <f t="shared" si="70"/>
        <v>0</v>
      </c>
      <c r="K210" s="73"/>
      <c r="L210" s="73"/>
      <c r="M210" s="73"/>
      <c r="N210" s="73"/>
      <c r="O210" s="73"/>
      <c r="P210" s="73"/>
      <c r="Q210" s="73"/>
      <c r="R210" s="73"/>
      <c r="S210" s="73"/>
      <c r="T210" s="73"/>
      <c r="U210" s="73"/>
      <c r="V210" s="73"/>
      <c r="W210" s="73"/>
    </row>
    <row r="211" spans="1:23" ht="15.75" customHeight="1">
      <c r="A211" s="78">
        <f t="shared" si="56"/>
        <v>0</v>
      </c>
      <c r="B211" s="78"/>
      <c r="C211" s="79">
        <v>0</v>
      </c>
      <c r="D211" s="80">
        <f t="shared" ref="D211:J211" si="71">C76*$C211*D$124</f>
        <v>0</v>
      </c>
      <c r="E211" s="80">
        <f t="shared" si="71"/>
        <v>0</v>
      </c>
      <c r="F211" s="80">
        <f t="shared" si="71"/>
        <v>0</v>
      </c>
      <c r="G211" s="80">
        <f t="shared" si="71"/>
        <v>0</v>
      </c>
      <c r="H211" s="80">
        <f t="shared" si="71"/>
        <v>0</v>
      </c>
      <c r="I211" s="80">
        <f t="shared" si="71"/>
        <v>0</v>
      </c>
      <c r="J211" s="80">
        <f t="shared" si="71"/>
        <v>0</v>
      </c>
      <c r="K211" s="73"/>
      <c r="L211" s="73"/>
      <c r="M211" s="73"/>
      <c r="N211" s="73"/>
      <c r="O211" s="73"/>
      <c r="P211" s="73"/>
      <c r="Q211" s="73"/>
      <c r="R211" s="73"/>
      <c r="S211" s="73"/>
      <c r="T211" s="73"/>
      <c r="U211" s="73"/>
      <c r="V211" s="73"/>
      <c r="W211" s="73"/>
    </row>
    <row r="212" spans="1:23" ht="15.75" customHeight="1">
      <c r="A212" s="78">
        <f t="shared" si="56"/>
        <v>0</v>
      </c>
      <c r="B212" s="78"/>
      <c r="C212" s="79"/>
      <c r="D212" s="80">
        <f t="shared" ref="D212:J212" si="72">C77*$C212*D$124</f>
        <v>0</v>
      </c>
      <c r="E212" s="80">
        <f t="shared" si="72"/>
        <v>0</v>
      </c>
      <c r="F212" s="80">
        <f t="shared" si="72"/>
        <v>0</v>
      </c>
      <c r="G212" s="80">
        <f t="shared" si="72"/>
        <v>0</v>
      </c>
      <c r="H212" s="80">
        <f t="shared" si="72"/>
        <v>0</v>
      </c>
      <c r="I212" s="80">
        <f t="shared" si="72"/>
        <v>0</v>
      </c>
      <c r="J212" s="80">
        <f t="shared" si="72"/>
        <v>0</v>
      </c>
      <c r="K212" s="73"/>
      <c r="L212" s="73"/>
      <c r="M212" s="73"/>
      <c r="N212" s="73"/>
      <c r="O212" s="73"/>
      <c r="P212" s="73"/>
      <c r="Q212" s="73"/>
      <c r="R212" s="73"/>
      <c r="S212" s="73"/>
      <c r="T212" s="73"/>
      <c r="U212" s="73"/>
      <c r="V212" s="73"/>
      <c r="W212" s="73"/>
    </row>
    <row r="213" spans="1:23" ht="15.75" customHeight="1">
      <c r="A213" s="78">
        <f t="shared" si="56"/>
        <v>0</v>
      </c>
      <c r="B213" s="78"/>
      <c r="C213" s="79"/>
      <c r="D213" s="80">
        <f t="shared" ref="D213:J213" si="73">C78*$C213*D$124</f>
        <v>0</v>
      </c>
      <c r="E213" s="80">
        <f t="shared" si="73"/>
        <v>0</v>
      </c>
      <c r="F213" s="80">
        <f t="shared" si="73"/>
        <v>0</v>
      </c>
      <c r="G213" s="80">
        <f t="shared" si="73"/>
        <v>0</v>
      </c>
      <c r="H213" s="80">
        <f t="shared" si="73"/>
        <v>0</v>
      </c>
      <c r="I213" s="80">
        <f t="shared" si="73"/>
        <v>0</v>
      </c>
      <c r="J213" s="80">
        <f t="shared" si="73"/>
        <v>0</v>
      </c>
      <c r="K213" s="73"/>
      <c r="L213" s="73"/>
      <c r="M213" s="73"/>
      <c r="N213" s="73"/>
      <c r="O213" s="73"/>
      <c r="P213" s="73"/>
      <c r="Q213" s="73"/>
      <c r="R213" s="73"/>
      <c r="S213" s="73"/>
      <c r="T213" s="73"/>
      <c r="U213" s="73"/>
      <c r="V213" s="73"/>
      <c r="W213" s="73"/>
    </row>
    <row r="214" spans="1:23" ht="15.75" customHeight="1">
      <c r="A214" s="78" t="str">
        <f t="shared" si="56"/>
        <v>Summer</v>
      </c>
      <c r="B214" s="78"/>
      <c r="C214" s="79"/>
      <c r="D214" s="80">
        <f t="shared" ref="D214:J214" si="74">C79*$C214*D$124</f>
        <v>0</v>
      </c>
      <c r="E214" s="80">
        <f t="shared" si="74"/>
        <v>0</v>
      </c>
      <c r="F214" s="80">
        <f t="shared" si="74"/>
        <v>0</v>
      </c>
      <c r="G214" s="80">
        <f t="shared" si="74"/>
        <v>0</v>
      </c>
      <c r="H214" s="80">
        <f t="shared" si="74"/>
        <v>0</v>
      </c>
      <c r="I214" s="80">
        <f t="shared" si="74"/>
        <v>0</v>
      </c>
      <c r="J214" s="80">
        <f t="shared" si="74"/>
        <v>0</v>
      </c>
      <c r="K214" s="73"/>
      <c r="L214" s="73"/>
      <c r="M214" s="73"/>
      <c r="N214" s="73"/>
      <c r="O214" s="73"/>
      <c r="P214" s="73"/>
      <c r="Q214" s="73"/>
      <c r="R214" s="73"/>
      <c r="S214" s="73"/>
      <c r="T214" s="73"/>
      <c r="U214" s="73"/>
      <c r="V214" s="73"/>
      <c r="W214" s="73"/>
    </row>
    <row r="215" spans="1:23" ht="15.75" customHeight="1">
      <c r="A215" s="78" t="str">
        <f t="shared" si="56"/>
        <v>Groundnut</v>
      </c>
      <c r="B215" s="78"/>
      <c r="C215" s="79"/>
      <c r="D215" s="80">
        <f t="shared" ref="D215:J215" si="75">C80*$C215*D$124</f>
        <v>0</v>
      </c>
      <c r="E215" s="80">
        <f t="shared" si="75"/>
        <v>0</v>
      </c>
      <c r="F215" s="80">
        <f t="shared" si="75"/>
        <v>0</v>
      </c>
      <c r="G215" s="80">
        <f t="shared" si="75"/>
        <v>0</v>
      </c>
      <c r="H215" s="80">
        <f t="shared" si="75"/>
        <v>0</v>
      </c>
      <c r="I215" s="80">
        <f t="shared" si="75"/>
        <v>0</v>
      </c>
      <c r="J215" s="80">
        <f t="shared" si="75"/>
        <v>0</v>
      </c>
      <c r="K215" s="73"/>
      <c r="L215" s="73"/>
      <c r="M215" s="73"/>
      <c r="N215" s="73"/>
      <c r="O215" s="73"/>
      <c r="P215" s="73"/>
      <c r="Q215" s="73"/>
      <c r="R215" s="73"/>
      <c r="S215" s="73"/>
      <c r="T215" s="73"/>
      <c r="U215" s="73"/>
      <c r="V215" s="73"/>
      <c r="W215" s="73"/>
    </row>
    <row r="216" spans="1:23" ht="15.75" customHeight="1">
      <c r="A216" s="78">
        <f t="shared" si="56"/>
        <v>0</v>
      </c>
      <c r="B216" s="78"/>
      <c r="C216" s="79"/>
      <c r="D216" s="80">
        <f t="shared" ref="D216:J216" si="76">C81*$C216*D$124</f>
        <v>0</v>
      </c>
      <c r="E216" s="80">
        <f t="shared" si="76"/>
        <v>0</v>
      </c>
      <c r="F216" s="80">
        <f t="shared" si="76"/>
        <v>0</v>
      </c>
      <c r="G216" s="80">
        <f t="shared" si="76"/>
        <v>0</v>
      </c>
      <c r="H216" s="80">
        <f t="shared" si="76"/>
        <v>0</v>
      </c>
      <c r="I216" s="80">
        <f t="shared" si="76"/>
        <v>0</v>
      </c>
      <c r="J216" s="80">
        <f t="shared" si="76"/>
        <v>0</v>
      </c>
      <c r="K216" s="73"/>
      <c r="L216" s="73"/>
      <c r="M216" s="73"/>
      <c r="N216" s="73"/>
      <c r="O216" s="73"/>
      <c r="P216" s="73"/>
      <c r="Q216" s="73"/>
      <c r="R216" s="73"/>
      <c r="S216" s="73"/>
      <c r="T216" s="73"/>
      <c r="U216" s="73"/>
      <c r="V216" s="73"/>
      <c r="W216" s="73"/>
    </row>
    <row r="217" spans="1:23" ht="15.75" customHeight="1">
      <c r="A217" s="78">
        <f t="shared" si="56"/>
        <v>0</v>
      </c>
      <c r="B217" s="78"/>
      <c r="C217" s="79"/>
      <c r="D217" s="80">
        <f t="shared" ref="D217:J217" si="77">C82*$C217*D$124</f>
        <v>0</v>
      </c>
      <c r="E217" s="80">
        <f t="shared" si="77"/>
        <v>0</v>
      </c>
      <c r="F217" s="80">
        <f t="shared" si="77"/>
        <v>0</v>
      </c>
      <c r="G217" s="80">
        <f t="shared" si="77"/>
        <v>0</v>
      </c>
      <c r="H217" s="80">
        <f t="shared" si="77"/>
        <v>0</v>
      </c>
      <c r="I217" s="80">
        <f t="shared" si="77"/>
        <v>0</v>
      </c>
      <c r="J217" s="80">
        <f t="shared" si="77"/>
        <v>0</v>
      </c>
      <c r="K217" s="73"/>
      <c r="L217" s="73"/>
      <c r="M217" s="73"/>
      <c r="N217" s="73"/>
      <c r="O217" s="73"/>
      <c r="P217" s="73"/>
      <c r="Q217" s="73"/>
      <c r="R217" s="73"/>
      <c r="S217" s="73"/>
      <c r="T217" s="73"/>
      <c r="U217" s="73"/>
      <c r="V217" s="73"/>
      <c r="W217" s="73"/>
    </row>
    <row r="218" spans="1:23" ht="15.75" customHeight="1">
      <c r="A218" s="78">
        <f t="shared" si="56"/>
        <v>0</v>
      </c>
      <c r="B218" s="78"/>
      <c r="C218" s="79"/>
      <c r="D218" s="80">
        <f t="shared" ref="D218:J218" si="78">C83*$C218*D$124</f>
        <v>0</v>
      </c>
      <c r="E218" s="80">
        <f t="shared" si="78"/>
        <v>0</v>
      </c>
      <c r="F218" s="80">
        <f t="shared" si="78"/>
        <v>0</v>
      </c>
      <c r="G218" s="80">
        <f t="shared" si="78"/>
        <v>0</v>
      </c>
      <c r="H218" s="80">
        <f t="shared" si="78"/>
        <v>0</v>
      </c>
      <c r="I218" s="80">
        <f t="shared" si="78"/>
        <v>0</v>
      </c>
      <c r="J218" s="80">
        <f t="shared" si="78"/>
        <v>0</v>
      </c>
      <c r="K218" s="73"/>
      <c r="L218" s="73"/>
      <c r="M218" s="73"/>
      <c r="N218" s="73"/>
      <c r="O218" s="73"/>
      <c r="P218" s="73"/>
      <c r="Q218" s="73"/>
      <c r="R218" s="73"/>
      <c r="S218" s="73"/>
      <c r="T218" s="73"/>
      <c r="U218" s="73"/>
      <c r="V218" s="73"/>
      <c r="W218" s="73"/>
    </row>
    <row r="219" spans="1:23" ht="15.75" customHeight="1">
      <c r="A219" s="78">
        <f t="shared" si="56"/>
        <v>0</v>
      </c>
      <c r="B219" s="78"/>
      <c r="C219" s="79"/>
      <c r="D219" s="80">
        <f t="shared" ref="D219:J219" si="79">C84*$C219*D$124</f>
        <v>0</v>
      </c>
      <c r="E219" s="80">
        <f t="shared" si="79"/>
        <v>0</v>
      </c>
      <c r="F219" s="80">
        <f t="shared" si="79"/>
        <v>0</v>
      </c>
      <c r="G219" s="80">
        <f t="shared" si="79"/>
        <v>0</v>
      </c>
      <c r="H219" s="80">
        <f t="shared" si="79"/>
        <v>0</v>
      </c>
      <c r="I219" s="80">
        <f t="shared" si="79"/>
        <v>0</v>
      </c>
      <c r="J219" s="80">
        <f t="shared" si="79"/>
        <v>0</v>
      </c>
      <c r="K219" s="73"/>
      <c r="L219" s="73"/>
      <c r="M219" s="73"/>
      <c r="N219" s="73"/>
      <c r="O219" s="73"/>
      <c r="P219" s="73"/>
      <c r="Q219" s="73"/>
      <c r="R219" s="73"/>
      <c r="S219" s="73"/>
      <c r="T219" s="73"/>
      <c r="U219" s="73"/>
      <c r="V219" s="73"/>
      <c r="W219" s="73"/>
    </row>
    <row r="220" spans="1:23" ht="15.75" customHeight="1">
      <c r="A220" s="78" t="str">
        <f t="shared" si="56"/>
        <v>Fruit  &amp; Vegetables Crop Production Details</v>
      </c>
      <c r="B220" s="78"/>
      <c r="C220" s="80"/>
      <c r="D220" s="80"/>
      <c r="E220" s="80"/>
      <c r="F220" s="80"/>
      <c r="G220" s="80"/>
      <c r="H220" s="80"/>
      <c r="I220" s="80"/>
      <c r="J220" s="80"/>
      <c r="K220" s="73"/>
      <c r="L220" s="73"/>
      <c r="M220" s="73"/>
      <c r="N220" s="73"/>
      <c r="O220" s="73"/>
      <c r="P220" s="73"/>
      <c r="Q220" s="73"/>
      <c r="R220" s="73"/>
      <c r="S220" s="73"/>
      <c r="T220" s="73"/>
      <c r="U220" s="73"/>
      <c r="V220" s="73"/>
      <c r="W220" s="73"/>
    </row>
    <row r="221" spans="1:23" ht="15.75" customHeight="1">
      <c r="A221" s="78" t="str">
        <f t="shared" si="56"/>
        <v>Onion</v>
      </c>
      <c r="B221" s="78"/>
      <c r="C221" s="79"/>
      <c r="D221" s="80">
        <f t="shared" ref="D221:J221" si="80">C86*$C221*D$124</f>
        <v>0</v>
      </c>
      <c r="E221" s="80">
        <f t="shared" si="80"/>
        <v>0</v>
      </c>
      <c r="F221" s="80">
        <f t="shared" si="80"/>
        <v>0</v>
      </c>
      <c r="G221" s="80">
        <f t="shared" si="80"/>
        <v>0</v>
      </c>
      <c r="H221" s="80">
        <f t="shared" si="80"/>
        <v>0</v>
      </c>
      <c r="I221" s="80">
        <f t="shared" si="80"/>
        <v>0</v>
      </c>
      <c r="J221" s="80">
        <f t="shared" si="80"/>
        <v>0</v>
      </c>
      <c r="K221" s="73"/>
      <c r="L221" s="73"/>
      <c r="M221" s="73"/>
      <c r="N221" s="73"/>
      <c r="O221" s="73"/>
      <c r="P221" s="73"/>
      <c r="Q221" s="73"/>
      <c r="R221" s="73"/>
      <c r="S221" s="73"/>
      <c r="T221" s="73"/>
      <c r="U221" s="73"/>
      <c r="V221" s="73"/>
      <c r="W221" s="73"/>
    </row>
    <row r="222" spans="1:23" ht="15.75" customHeight="1">
      <c r="A222" s="78" t="str">
        <f t="shared" si="56"/>
        <v>Tomato</v>
      </c>
      <c r="B222" s="78"/>
      <c r="C222" s="79"/>
      <c r="D222" s="80">
        <f t="shared" ref="D222:J222" si="81">C87*$C222*D$124</f>
        <v>0</v>
      </c>
      <c r="E222" s="80">
        <f t="shared" si="81"/>
        <v>0</v>
      </c>
      <c r="F222" s="80">
        <f t="shared" si="81"/>
        <v>0</v>
      </c>
      <c r="G222" s="80">
        <f t="shared" si="81"/>
        <v>0</v>
      </c>
      <c r="H222" s="80">
        <f t="shared" si="81"/>
        <v>0</v>
      </c>
      <c r="I222" s="80">
        <f t="shared" si="81"/>
        <v>0</v>
      </c>
      <c r="J222" s="80">
        <f t="shared" si="81"/>
        <v>0</v>
      </c>
      <c r="K222" s="73"/>
      <c r="L222" s="73"/>
      <c r="M222" s="73"/>
      <c r="N222" s="73"/>
      <c r="O222" s="73"/>
      <c r="P222" s="73"/>
      <c r="Q222" s="73"/>
      <c r="R222" s="73"/>
      <c r="S222" s="73"/>
      <c r="T222" s="73"/>
      <c r="U222" s="73"/>
      <c r="V222" s="73"/>
      <c r="W222" s="73"/>
    </row>
    <row r="223" spans="1:23" ht="15.75" customHeight="1">
      <c r="A223" s="78" t="str">
        <f t="shared" si="56"/>
        <v>Okra</v>
      </c>
      <c r="B223" s="78"/>
      <c r="C223" s="79"/>
      <c r="D223" s="80">
        <f t="shared" ref="D223:J223" si="82">C88*$C223*D$124</f>
        <v>0</v>
      </c>
      <c r="E223" s="80">
        <f t="shared" si="82"/>
        <v>0</v>
      </c>
      <c r="F223" s="80">
        <f t="shared" si="82"/>
        <v>0</v>
      </c>
      <c r="G223" s="80">
        <f t="shared" si="82"/>
        <v>0</v>
      </c>
      <c r="H223" s="80">
        <f t="shared" si="82"/>
        <v>0</v>
      </c>
      <c r="I223" s="80">
        <f t="shared" si="82"/>
        <v>0</v>
      </c>
      <c r="J223" s="80">
        <f t="shared" si="82"/>
        <v>0</v>
      </c>
      <c r="K223" s="73"/>
      <c r="L223" s="73"/>
      <c r="M223" s="73"/>
      <c r="N223" s="73"/>
      <c r="O223" s="73"/>
      <c r="P223" s="73"/>
      <c r="Q223" s="73"/>
      <c r="R223" s="73"/>
      <c r="S223" s="73"/>
      <c r="T223" s="73"/>
      <c r="U223" s="73"/>
      <c r="V223" s="73"/>
      <c r="W223" s="73"/>
    </row>
    <row r="224" spans="1:23" ht="15.75" customHeight="1">
      <c r="A224" s="78" t="str">
        <f t="shared" si="56"/>
        <v>Chilli</v>
      </c>
      <c r="B224" s="78"/>
      <c r="C224" s="79"/>
      <c r="D224" s="80">
        <f t="shared" ref="D224:J224" si="83">C89*$C224*D$124</f>
        <v>0</v>
      </c>
      <c r="E224" s="80">
        <f t="shared" si="83"/>
        <v>0</v>
      </c>
      <c r="F224" s="80">
        <f t="shared" si="83"/>
        <v>0</v>
      </c>
      <c r="G224" s="80">
        <f t="shared" si="83"/>
        <v>0</v>
      </c>
      <c r="H224" s="80">
        <f t="shared" si="83"/>
        <v>0</v>
      </c>
      <c r="I224" s="80">
        <f t="shared" si="83"/>
        <v>0</v>
      </c>
      <c r="J224" s="80">
        <f t="shared" si="83"/>
        <v>0</v>
      </c>
      <c r="K224" s="73"/>
      <c r="L224" s="73"/>
      <c r="M224" s="73"/>
      <c r="N224" s="73"/>
      <c r="O224" s="73"/>
      <c r="P224" s="73"/>
      <c r="Q224" s="73"/>
      <c r="R224" s="73"/>
      <c r="S224" s="73"/>
      <c r="T224" s="73"/>
      <c r="U224" s="73"/>
      <c r="V224" s="73"/>
      <c r="W224" s="73"/>
    </row>
    <row r="225" spans="1:23" ht="15.75" customHeight="1">
      <c r="A225" s="78" t="str">
        <f t="shared" si="56"/>
        <v>Potato</v>
      </c>
      <c r="B225" s="78"/>
      <c r="C225" s="79"/>
      <c r="D225" s="80">
        <f t="shared" ref="D225:J225" si="84">C90*$C225*D$124</f>
        <v>0</v>
      </c>
      <c r="E225" s="80">
        <f t="shared" si="84"/>
        <v>0</v>
      </c>
      <c r="F225" s="80">
        <f t="shared" si="84"/>
        <v>0</v>
      </c>
      <c r="G225" s="80">
        <f t="shared" si="84"/>
        <v>0</v>
      </c>
      <c r="H225" s="80">
        <f t="shared" si="84"/>
        <v>0</v>
      </c>
      <c r="I225" s="80">
        <f t="shared" si="84"/>
        <v>0</v>
      </c>
      <c r="J225" s="80">
        <f t="shared" si="84"/>
        <v>0</v>
      </c>
      <c r="K225" s="73"/>
      <c r="L225" s="73"/>
      <c r="M225" s="73"/>
      <c r="N225" s="73"/>
      <c r="O225" s="73"/>
      <c r="P225" s="73"/>
      <c r="Q225" s="73"/>
      <c r="R225" s="73"/>
      <c r="S225" s="73"/>
      <c r="T225" s="73"/>
      <c r="U225" s="73"/>
      <c r="V225" s="73"/>
      <c r="W225" s="73"/>
    </row>
    <row r="226" spans="1:23" ht="15.75" customHeight="1">
      <c r="A226" s="78">
        <f t="shared" si="56"/>
        <v>0</v>
      </c>
      <c r="B226" s="78"/>
      <c r="C226" s="79"/>
      <c r="D226" s="80">
        <f t="shared" ref="D226:J226" si="85">C91*$C226*D$124</f>
        <v>0</v>
      </c>
      <c r="E226" s="80">
        <f t="shared" si="85"/>
        <v>0</v>
      </c>
      <c r="F226" s="80">
        <f t="shared" si="85"/>
        <v>0</v>
      </c>
      <c r="G226" s="80">
        <f t="shared" si="85"/>
        <v>0</v>
      </c>
      <c r="H226" s="80">
        <f t="shared" si="85"/>
        <v>0</v>
      </c>
      <c r="I226" s="80">
        <f t="shared" si="85"/>
        <v>0</v>
      </c>
      <c r="J226" s="80">
        <f t="shared" si="85"/>
        <v>0</v>
      </c>
      <c r="K226" s="73"/>
      <c r="L226" s="73"/>
      <c r="M226" s="73"/>
      <c r="N226" s="73"/>
      <c r="O226" s="73"/>
      <c r="P226" s="73"/>
      <c r="Q226" s="73"/>
      <c r="R226" s="73"/>
      <c r="S226" s="73"/>
      <c r="T226" s="73"/>
      <c r="U226" s="73"/>
      <c r="V226" s="73"/>
      <c r="W226" s="73"/>
    </row>
    <row r="227" spans="1:23" ht="15.75" customHeight="1">
      <c r="A227" s="78">
        <f t="shared" si="56"/>
        <v>0</v>
      </c>
      <c r="B227" s="78"/>
      <c r="C227" s="79"/>
      <c r="D227" s="80">
        <f t="shared" ref="D227:J227" si="86">C92*$C227*D$124</f>
        <v>0</v>
      </c>
      <c r="E227" s="80">
        <f t="shared" si="86"/>
        <v>0</v>
      </c>
      <c r="F227" s="80">
        <f t="shared" si="86"/>
        <v>0</v>
      </c>
      <c r="G227" s="80">
        <f t="shared" si="86"/>
        <v>0</v>
      </c>
      <c r="H227" s="80">
        <f t="shared" si="86"/>
        <v>0</v>
      </c>
      <c r="I227" s="80">
        <f t="shared" si="86"/>
        <v>0</v>
      </c>
      <c r="J227" s="80">
        <f t="shared" si="86"/>
        <v>0</v>
      </c>
      <c r="K227" s="73"/>
      <c r="L227" s="73"/>
      <c r="M227" s="73"/>
      <c r="N227" s="73"/>
      <c r="O227" s="73"/>
      <c r="P227" s="73"/>
      <c r="Q227" s="73"/>
      <c r="R227" s="73"/>
      <c r="S227" s="73"/>
      <c r="T227" s="73"/>
      <c r="U227" s="73"/>
      <c r="V227" s="73"/>
      <c r="W227" s="73"/>
    </row>
    <row r="228" spans="1:23" ht="15.75" customHeight="1">
      <c r="A228" s="78">
        <f t="shared" si="56"/>
        <v>0</v>
      </c>
      <c r="B228" s="78"/>
      <c r="C228" s="79"/>
      <c r="D228" s="80">
        <f t="shared" ref="D228:J228" si="87">C93*$C228*D$124</f>
        <v>0</v>
      </c>
      <c r="E228" s="80">
        <f t="shared" si="87"/>
        <v>0</v>
      </c>
      <c r="F228" s="80">
        <f t="shared" si="87"/>
        <v>0</v>
      </c>
      <c r="G228" s="80">
        <f t="shared" si="87"/>
        <v>0</v>
      </c>
      <c r="H228" s="80">
        <f t="shared" si="87"/>
        <v>0</v>
      </c>
      <c r="I228" s="80">
        <f t="shared" si="87"/>
        <v>0</v>
      </c>
      <c r="J228" s="80">
        <f t="shared" si="87"/>
        <v>0</v>
      </c>
      <c r="K228" s="73"/>
      <c r="L228" s="73"/>
      <c r="M228" s="73"/>
      <c r="N228" s="73"/>
      <c r="O228" s="73"/>
      <c r="P228" s="73"/>
      <c r="Q228" s="73"/>
      <c r="R228" s="73"/>
      <c r="S228" s="73"/>
      <c r="T228" s="73"/>
      <c r="U228" s="73"/>
      <c r="V228" s="73"/>
      <c r="W228" s="73"/>
    </row>
    <row r="229" spans="1:23" ht="15.75" customHeight="1">
      <c r="A229" s="78">
        <f t="shared" si="56"/>
        <v>0</v>
      </c>
      <c r="B229" s="78"/>
      <c r="C229" s="79"/>
      <c r="D229" s="80">
        <f t="shared" ref="D229:J229" si="88">C94*$C229*D$124</f>
        <v>0</v>
      </c>
      <c r="E229" s="80">
        <f t="shared" si="88"/>
        <v>0</v>
      </c>
      <c r="F229" s="80">
        <f t="shared" si="88"/>
        <v>0</v>
      </c>
      <c r="G229" s="80">
        <f t="shared" si="88"/>
        <v>0</v>
      </c>
      <c r="H229" s="80">
        <f t="shared" si="88"/>
        <v>0</v>
      </c>
      <c r="I229" s="80">
        <f t="shared" si="88"/>
        <v>0</v>
      </c>
      <c r="J229" s="80">
        <f t="shared" si="88"/>
        <v>0</v>
      </c>
      <c r="K229" s="73"/>
      <c r="L229" s="73"/>
      <c r="M229" s="73"/>
      <c r="N229" s="73"/>
      <c r="O229" s="73"/>
      <c r="P229" s="73"/>
      <c r="Q229" s="73"/>
      <c r="R229" s="73"/>
      <c r="S229" s="73"/>
      <c r="T229" s="73"/>
      <c r="U229" s="73"/>
      <c r="V229" s="73"/>
      <c r="W229" s="73"/>
    </row>
    <row r="230" spans="1:23" ht="15.75" customHeight="1">
      <c r="A230" s="78" t="str">
        <f t="shared" si="56"/>
        <v>Onion</v>
      </c>
      <c r="B230" s="78"/>
      <c r="C230" s="79"/>
      <c r="D230" s="80">
        <f t="shared" ref="D230:J230" si="89">C95*$C230*D$124</f>
        <v>0</v>
      </c>
      <c r="E230" s="80">
        <f t="shared" si="89"/>
        <v>0</v>
      </c>
      <c r="F230" s="80">
        <f t="shared" si="89"/>
        <v>0</v>
      </c>
      <c r="G230" s="80">
        <f t="shared" si="89"/>
        <v>0</v>
      </c>
      <c r="H230" s="80">
        <f t="shared" si="89"/>
        <v>0</v>
      </c>
      <c r="I230" s="80">
        <f t="shared" si="89"/>
        <v>0</v>
      </c>
      <c r="J230" s="80">
        <f t="shared" si="89"/>
        <v>0</v>
      </c>
      <c r="K230" s="73"/>
      <c r="L230" s="73"/>
      <c r="M230" s="73"/>
      <c r="N230" s="73"/>
      <c r="O230" s="73"/>
      <c r="P230" s="73"/>
      <c r="Q230" s="73"/>
      <c r="R230" s="73"/>
      <c r="S230" s="73"/>
      <c r="T230" s="73"/>
      <c r="U230" s="73"/>
      <c r="V230" s="73"/>
      <c r="W230" s="73"/>
    </row>
    <row r="231" spans="1:23" ht="15.75" customHeight="1">
      <c r="A231" s="78" t="str">
        <f t="shared" si="56"/>
        <v>Tomato</v>
      </c>
      <c r="B231" s="78"/>
      <c r="C231" s="79"/>
      <c r="D231" s="80">
        <f t="shared" ref="D231:J231" si="90">C96*$C231*D$124</f>
        <v>0</v>
      </c>
      <c r="E231" s="80">
        <f t="shared" si="90"/>
        <v>0</v>
      </c>
      <c r="F231" s="80">
        <f t="shared" si="90"/>
        <v>0</v>
      </c>
      <c r="G231" s="80">
        <f t="shared" si="90"/>
        <v>0</v>
      </c>
      <c r="H231" s="80">
        <f t="shared" si="90"/>
        <v>0</v>
      </c>
      <c r="I231" s="80">
        <f t="shared" si="90"/>
        <v>0</v>
      </c>
      <c r="J231" s="80">
        <f t="shared" si="90"/>
        <v>0</v>
      </c>
      <c r="K231" s="73"/>
      <c r="L231" s="73"/>
      <c r="M231" s="73"/>
      <c r="N231" s="73"/>
      <c r="O231" s="73"/>
      <c r="P231" s="73"/>
      <c r="Q231" s="73"/>
      <c r="R231" s="73"/>
      <c r="S231" s="73"/>
      <c r="T231" s="73"/>
      <c r="U231" s="73"/>
      <c r="V231" s="73"/>
      <c r="W231" s="73"/>
    </row>
    <row r="232" spans="1:23" ht="15.75" customHeight="1">
      <c r="A232" s="78" t="str">
        <f t="shared" si="56"/>
        <v>Okra</v>
      </c>
      <c r="B232" s="78"/>
      <c r="C232" s="79"/>
      <c r="D232" s="80">
        <f t="shared" ref="D232:J232" si="91">C97*$C232*D$124</f>
        <v>0</v>
      </c>
      <c r="E232" s="80">
        <f t="shared" si="91"/>
        <v>0</v>
      </c>
      <c r="F232" s="80">
        <f t="shared" si="91"/>
        <v>0</v>
      </c>
      <c r="G232" s="80">
        <f t="shared" si="91"/>
        <v>0</v>
      </c>
      <c r="H232" s="80">
        <f t="shared" si="91"/>
        <v>0</v>
      </c>
      <c r="I232" s="80">
        <f t="shared" si="91"/>
        <v>0</v>
      </c>
      <c r="J232" s="80">
        <f t="shared" si="91"/>
        <v>0</v>
      </c>
      <c r="K232" s="73"/>
      <c r="L232" s="73"/>
      <c r="M232" s="73"/>
      <c r="N232" s="73"/>
      <c r="O232" s="73"/>
      <c r="P232" s="73"/>
      <c r="Q232" s="73"/>
      <c r="R232" s="73"/>
      <c r="S232" s="73"/>
      <c r="T232" s="73"/>
      <c r="U232" s="73"/>
      <c r="V232" s="73"/>
      <c r="W232" s="73"/>
    </row>
    <row r="233" spans="1:23" ht="15.75" customHeight="1">
      <c r="A233" s="78" t="str">
        <f t="shared" si="56"/>
        <v>Chilli</v>
      </c>
      <c r="B233" s="78"/>
      <c r="C233" s="79"/>
      <c r="D233" s="80">
        <f t="shared" ref="D233:J233" si="92">C98*$C233*D$124</f>
        <v>0</v>
      </c>
      <c r="E233" s="80">
        <f t="shared" si="92"/>
        <v>0</v>
      </c>
      <c r="F233" s="80">
        <f t="shared" si="92"/>
        <v>0</v>
      </c>
      <c r="G233" s="80">
        <f t="shared" si="92"/>
        <v>0</v>
      </c>
      <c r="H233" s="80">
        <f t="shared" si="92"/>
        <v>0</v>
      </c>
      <c r="I233" s="80">
        <f t="shared" si="92"/>
        <v>0</v>
      </c>
      <c r="J233" s="80">
        <f t="shared" si="92"/>
        <v>0</v>
      </c>
      <c r="K233" s="73"/>
      <c r="L233" s="73"/>
      <c r="M233" s="73"/>
      <c r="N233" s="73"/>
      <c r="O233" s="73"/>
      <c r="P233" s="73"/>
      <c r="Q233" s="73"/>
      <c r="R233" s="73"/>
      <c r="S233" s="73"/>
      <c r="T233" s="73"/>
      <c r="U233" s="73"/>
      <c r="V233" s="73"/>
      <c r="W233" s="73"/>
    </row>
    <row r="234" spans="1:23" ht="15.75" customHeight="1">
      <c r="A234" s="78" t="str">
        <f t="shared" si="56"/>
        <v>Brinjal</v>
      </c>
      <c r="B234" s="78"/>
      <c r="C234" s="79"/>
      <c r="D234" s="80">
        <f t="shared" ref="D234:J234" si="93">C99*$C234*D$124</f>
        <v>0</v>
      </c>
      <c r="E234" s="80">
        <f t="shared" si="93"/>
        <v>0</v>
      </c>
      <c r="F234" s="80">
        <f t="shared" si="93"/>
        <v>0</v>
      </c>
      <c r="G234" s="80">
        <f t="shared" si="93"/>
        <v>0</v>
      </c>
      <c r="H234" s="80">
        <f t="shared" si="93"/>
        <v>0</v>
      </c>
      <c r="I234" s="80">
        <f t="shared" si="93"/>
        <v>0</v>
      </c>
      <c r="J234" s="80">
        <f t="shared" si="93"/>
        <v>0</v>
      </c>
      <c r="K234" s="73"/>
      <c r="L234" s="73"/>
      <c r="M234" s="73"/>
      <c r="N234" s="73"/>
      <c r="O234" s="73"/>
      <c r="P234" s="73"/>
      <c r="Q234" s="73"/>
      <c r="R234" s="73"/>
      <c r="S234" s="73"/>
      <c r="T234" s="73"/>
      <c r="U234" s="73"/>
      <c r="V234" s="73"/>
      <c r="W234" s="73"/>
    </row>
    <row r="235" spans="1:23" ht="15.75" customHeight="1">
      <c r="A235" s="78">
        <f t="shared" si="56"/>
        <v>0</v>
      </c>
      <c r="B235" s="78"/>
      <c r="C235" s="79"/>
      <c r="D235" s="80">
        <f t="shared" ref="D235:J235" si="94">C100*$C235*D$124</f>
        <v>0</v>
      </c>
      <c r="E235" s="80">
        <f t="shared" si="94"/>
        <v>0</v>
      </c>
      <c r="F235" s="80">
        <f t="shared" si="94"/>
        <v>0</v>
      </c>
      <c r="G235" s="80">
        <f t="shared" si="94"/>
        <v>0</v>
      </c>
      <c r="H235" s="80">
        <f t="shared" si="94"/>
        <v>0</v>
      </c>
      <c r="I235" s="80">
        <f t="shared" si="94"/>
        <v>0</v>
      </c>
      <c r="J235" s="80">
        <f t="shared" si="94"/>
        <v>0</v>
      </c>
      <c r="K235" s="73"/>
      <c r="L235" s="73"/>
      <c r="M235" s="73"/>
      <c r="N235" s="73"/>
      <c r="O235" s="73"/>
      <c r="P235" s="73"/>
      <c r="Q235" s="73"/>
      <c r="R235" s="73"/>
      <c r="S235" s="73"/>
      <c r="T235" s="73"/>
      <c r="U235" s="73"/>
      <c r="V235" s="73"/>
      <c r="W235" s="73"/>
    </row>
    <row r="236" spans="1:23" ht="15.75" customHeight="1">
      <c r="A236" s="78">
        <f t="shared" si="56"/>
        <v>0</v>
      </c>
      <c r="B236" s="78"/>
      <c r="C236" s="79"/>
      <c r="D236" s="80">
        <f t="shared" ref="D236:J236" si="95">C101*$C236*D$124</f>
        <v>0</v>
      </c>
      <c r="E236" s="80">
        <f t="shared" si="95"/>
        <v>0</v>
      </c>
      <c r="F236" s="80">
        <f t="shared" si="95"/>
        <v>0</v>
      </c>
      <c r="G236" s="80">
        <f t="shared" si="95"/>
        <v>0</v>
      </c>
      <c r="H236" s="80">
        <f t="shared" si="95"/>
        <v>0</v>
      </c>
      <c r="I236" s="80">
        <f t="shared" si="95"/>
        <v>0</v>
      </c>
      <c r="J236" s="80">
        <f t="shared" si="95"/>
        <v>0</v>
      </c>
      <c r="K236" s="73"/>
      <c r="L236" s="73"/>
      <c r="M236" s="73"/>
      <c r="N236" s="73"/>
      <c r="O236" s="73"/>
      <c r="P236" s="73"/>
      <c r="Q236" s="73"/>
      <c r="R236" s="73"/>
      <c r="S236" s="73"/>
      <c r="T236" s="73"/>
      <c r="U236" s="73"/>
      <c r="V236" s="73"/>
      <c r="W236" s="73"/>
    </row>
    <row r="237" spans="1:23" ht="15.75" customHeight="1">
      <c r="A237" s="78">
        <f t="shared" si="56"/>
        <v>0</v>
      </c>
      <c r="B237" s="78"/>
      <c r="C237" s="79"/>
      <c r="D237" s="80">
        <f t="shared" ref="D237:J237" si="96">C102*$C237*D$124</f>
        <v>0</v>
      </c>
      <c r="E237" s="80">
        <f t="shared" si="96"/>
        <v>0</v>
      </c>
      <c r="F237" s="80">
        <f t="shared" si="96"/>
        <v>0</v>
      </c>
      <c r="G237" s="80">
        <f t="shared" si="96"/>
        <v>0</v>
      </c>
      <c r="H237" s="80">
        <f t="shared" si="96"/>
        <v>0</v>
      </c>
      <c r="I237" s="80">
        <f t="shared" si="96"/>
        <v>0</v>
      </c>
      <c r="J237" s="80">
        <f t="shared" si="96"/>
        <v>0</v>
      </c>
      <c r="K237" s="73"/>
      <c r="L237" s="73"/>
      <c r="M237" s="73"/>
      <c r="N237" s="73"/>
      <c r="O237" s="73"/>
      <c r="P237" s="73"/>
      <c r="Q237" s="73"/>
      <c r="R237" s="73"/>
      <c r="S237" s="73"/>
      <c r="T237" s="73"/>
      <c r="U237" s="73"/>
      <c r="V237" s="73"/>
      <c r="W237" s="73"/>
    </row>
    <row r="238" spans="1:23" ht="15.75" customHeight="1">
      <c r="A238" s="78">
        <f t="shared" si="56"/>
        <v>0</v>
      </c>
      <c r="B238" s="78"/>
      <c r="C238" s="79"/>
      <c r="D238" s="80">
        <f t="shared" ref="D238:J238" si="97">C103*$C238*D$124</f>
        <v>0</v>
      </c>
      <c r="E238" s="80">
        <f t="shared" si="97"/>
        <v>0</v>
      </c>
      <c r="F238" s="80">
        <f t="shared" si="97"/>
        <v>0</v>
      </c>
      <c r="G238" s="80">
        <f t="shared" si="97"/>
        <v>0</v>
      </c>
      <c r="H238" s="80">
        <f t="shared" si="97"/>
        <v>0</v>
      </c>
      <c r="I238" s="80">
        <f t="shared" si="97"/>
        <v>0</v>
      </c>
      <c r="J238" s="80">
        <f t="shared" si="97"/>
        <v>0</v>
      </c>
      <c r="K238" s="73"/>
      <c r="L238" s="73"/>
      <c r="M238" s="73"/>
      <c r="N238" s="73"/>
      <c r="O238" s="73"/>
      <c r="P238" s="73"/>
      <c r="Q238" s="73"/>
      <c r="R238" s="73"/>
      <c r="S238" s="73"/>
      <c r="T238" s="73"/>
      <c r="U238" s="73"/>
      <c r="V238" s="73"/>
      <c r="W238" s="73"/>
    </row>
    <row r="239" spans="1:23" ht="15.75" customHeight="1">
      <c r="A239" s="78" t="str">
        <f t="shared" ref="A239:A243" si="98">A175</f>
        <v>Pomegranate</v>
      </c>
      <c r="B239" s="78"/>
      <c r="C239" s="79"/>
      <c r="D239" s="80">
        <f t="shared" ref="D239:J239" si="99">C107*$C239*D$124</f>
        <v>0</v>
      </c>
      <c r="E239" s="80">
        <f t="shared" si="99"/>
        <v>0</v>
      </c>
      <c r="F239" s="80">
        <f t="shared" si="99"/>
        <v>0</v>
      </c>
      <c r="G239" s="80">
        <f t="shared" si="99"/>
        <v>0</v>
      </c>
      <c r="H239" s="80">
        <f t="shared" si="99"/>
        <v>0</v>
      </c>
      <c r="I239" s="80">
        <f t="shared" si="99"/>
        <v>0</v>
      </c>
      <c r="J239" s="80">
        <f t="shared" si="99"/>
        <v>0</v>
      </c>
      <c r="K239" s="73"/>
      <c r="L239" s="73"/>
      <c r="M239" s="73"/>
      <c r="N239" s="73"/>
      <c r="O239" s="73"/>
      <c r="P239" s="73"/>
      <c r="Q239" s="73"/>
      <c r="R239" s="73"/>
      <c r="S239" s="73"/>
      <c r="T239" s="73"/>
      <c r="U239" s="73"/>
      <c r="V239" s="73"/>
      <c r="W239" s="73"/>
    </row>
    <row r="240" spans="1:23" ht="15.75" customHeight="1">
      <c r="A240" s="78" t="str">
        <f t="shared" si="98"/>
        <v>Custard Apple</v>
      </c>
      <c r="B240" s="78"/>
      <c r="C240" s="79"/>
      <c r="D240" s="80">
        <f t="shared" ref="D240:J240" si="100">C108*$C240*D$124</f>
        <v>0</v>
      </c>
      <c r="E240" s="80">
        <f t="shared" si="100"/>
        <v>0</v>
      </c>
      <c r="F240" s="80">
        <f t="shared" si="100"/>
        <v>0</v>
      </c>
      <c r="G240" s="80">
        <f t="shared" si="100"/>
        <v>0</v>
      </c>
      <c r="H240" s="80">
        <f t="shared" si="100"/>
        <v>0</v>
      </c>
      <c r="I240" s="80">
        <f t="shared" si="100"/>
        <v>0</v>
      </c>
      <c r="J240" s="80">
        <f t="shared" si="100"/>
        <v>0</v>
      </c>
      <c r="K240" s="73"/>
      <c r="L240" s="73"/>
      <c r="M240" s="73"/>
      <c r="N240" s="73"/>
      <c r="O240" s="73"/>
      <c r="P240" s="73"/>
      <c r="Q240" s="73"/>
      <c r="R240" s="73"/>
      <c r="S240" s="73"/>
      <c r="T240" s="73"/>
      <c r="U240" s="73"/>
      <c r="V240" s="73"/>
      <c r="W240" s="73"/>
    </row>
    <row r="241" spans="1:23" ht="15.75" customHeight="1">
      <c r="A241" s="78" t="str">
        <f t="shared" si="98"/>
        <v>Guava</v>
      </c>
      <c r="B241" s="78"/>
      <c r="C241" s="79"/>
      <c r="D241" s="80">
        <f t="shared" ref="D241:J241" si="101">C109*$C241*D$124</f>
        <v>0</v>
      </c>
      <c r="E241" s="80">
        <f t="shared" si="101"/>
        <v>0</v>
      </c>
      <c r="F241" s="80">
        <f t="shared" si="101"/>
        <v>0</v>
      </c>
      <c r="G241" s="80">
        <f t="shared" si="101"/>
        <v>0</v>
      </c>
      <c r="H241" s="80">
        <f t="shared" si="101"/>
        <v>0</v>
      </c>
      <c r="I241" s="80">
        <f t="shared" si="101"/>
        <v>0</v>
      </c>
      <c r="J241" s="80">
        <f t="shared" si="101"/>
        <v>0</v>
      </c>
      <c r="K241" s="73"/>
      <c r="L241" s="73"/>
      <c r="M241" s="73"/>
      <c r="N241" s="73"/>
      <c r="O241" s="73"/>
      <c r="P241" s="73"/>
      <c r="Q241" s="73"/>
      <c r="R241" s="73"/>
      <c r="S241" s="73"/>
      <c r="T241" s="73"/>
      <c r="U241" s="73"/>
      <c r="V241" s="73"/>
      <c r="W241" s="73"/>
    </row>
    <row r="242" spans="1:23" ht="15.75" customHeight="1">
      <c r="A242" s="78" t="str">
        <f t="shared" si="98"/>
        <v>Citrus</v>
      </c>
      <c r="B242" s="78"/>
      <c r="C242" s="79"/>
      <c r="D242" s="80">
        <f t="shared" ref="D242:J242" si="102">C110*$C242*D$124</f>
        <v>0</v>
      </c>
      <c r="E242" s="80">
        <f t="shared" si="102"/>
        <v>0</v>
      </c>
      <c r="F242" s="80">
        <f t="shared" si="102"/>
        <v>0</v>
      </c>
      <c r="G242" s="80">
        <f t="shared" si="102"/>
        <v>0</v>
      </c>
      <c r="H242" s="80">
        <f t="shared" si="102"/>
        <v>0</v>
      </c>
      <c r="I242" s="80">
        <f t="shared" si="102"/>
        <v>0</v>
      </c>
      <c r="J242" s="80">
        <f t="shared" si="102"/>
        <v>0</v>
      </c>
      <c r="K242" s="73"/>
      <c r="L242" s="73"/>
      <c r="M242" s="73"/>
      <c r="N242" s="73"/>
      <c r="O242" s="73"/>
      <c r="P242" s="73"/>
      <c r="Q242" s="73"/>
      <c r="R242" s="73"/>
      <c r="S242" s="73"/>
      <c r="T242" s="73"/>
      <c r="U242" s="73"/>
      <c r="V242" s="73"/>
      <c r="W242" s="73"/>
    </row>
    <row r="243" spans="1:23" ht="15.75" customHeight="1">
      <c r="A243" s="78">
        <f t="shared" si="98"/>
        <v>0</v>
      </c>
      <c r="B243" s="78"/>
      <c r="C243" s="79"/>
      <c r="D243" s="80">
        <f t="shared" ref="D243:J243" si="103">C111*$C243*D$124</f>
        <v>0</v>
      </c>
      <c r="E243" s="80">
        <f t="shared" si="103"/>
        <v>0</v>
      </c>
      <c r="F243" s="80">
        <f t="shared" si="103"/>
        <v>0</v>
      </c>
      <c r="G243" s="80">
        <f t="shared" si="103"/>
        <v>0</v>
      </c>
      <c r="H243" s="80">
        <f t="shared" si="103"/>
        <v>0</v>
      </c>
      <c r="I243" s="80">
        <f t="shared" si="103"/>
        <v>0</v>
      </c>
      <c r="J243" s="80">
        <f t="shared" si="103"/>
        <v>0</v>
      </c>
      <c r="K243" s="73"/>
      <c r="L243" s="73"/>
      <c r="M243" s="73"/>
      <c r="N243" s="73"/>
      <c r="O243" s="73"/>
      <c r="P243" s="73"/>
      <c r="Q243" s="73"/>
      <c r="R243" s="73"/>
      <c r="S243" s="73"/>
      <c r="T243" s="73"/>
      <c r="U243" s="73"/>
      <c r="V243" s="73"/>
      <c r="W243" s="73"/>
    </row>
    <row r="244" spans="1:23" ht="15.75" customHeight="1">
      <c r="A244" s="78" t="str">
        <f t="shared" ref="A244:A247" si="104">A181</f>
        <v>Fertilizer(Rate/KG)</v>
      </c>
      <c r="B244" s="78"/>
      <c r="C244" s="80"/>
      <c r="D244" s="80"/>
      <c r="E244" s="80"/>
      <c r="F244" s="80"/>
      <c r="G244" s="80"/>
      <c r="H244" s="80"/>
      <c r="I244" s="80"/>
      <c r="J244" s="80"/>
      <c r="K244" s="73"/>
      <c r="L244" s="73"/>
      <c r="M244" s="73"/>
      <c r="N244" s="73"/>
      <c r="O244" s="73"/>
      <c r="P244" s="73"/>
      <c r="Q244" s="73"/>
      <c r="R244" s="73"/>
      <c r="S244" s="73"/>
      <c r="T244" s="73"/>
      <c r="U244" s="73"/>
      <c r="V244" s="73"/>
      <c r="W244" s="73"/>
    </row>
    <row r="245" spans="1:23" ht="15.75" customHeight="1">
      <c r="A245" s="78" t="str">
        <f t="shared" si="104"/>
        <v>SSP</v>
      </c>
      <c r="B245" s="78"/>
      <c r="C245" s="79">
        <v>0</v>
      </c>
      <c r="D245" s="80">
        <f t="shared" ref="D245:J245" si="105">C114*$C$245*D124</f>
        <v>0</v>
      </c>
      <c r="E245" s="80">
        <f t="shared" si="105"/>
        <v>0</v>
      </c>
      <c r="F245" s="80">
        <f t="shared" si="105"/>
        <v>0</v>
      </c>
      <c r="G245" s="80">
        <f t="shared" si="105"/>
        <v>0</v>
      </c>
      <c r="H245" s="80">
        <f t="shared" si="105"/>
        <v>0</v>
      </c>
      <c r="I245" s="80">
        <f t="shared" si="105"/>
        <v>0</v>
      </c>
      <c r="J245" s="80">
        <f t="shared" si="105"/>
        <v>0</v>
      </c>
      <c r="K245" s="73"/>
      <c r="L245" s="73"/>
      <c r="M245" s="73"/>
      <c r="N245" s="73"/>
      <c r="O245" s="73"/>
      <c r="P245" s="73"/>
      <c r="Q245" s="73"/>
      <c r="R245" s="73"/>
      <c r="S245" s="73"/>
      <c r="T245" s="73"/>
      <c r="U245" s="73"/>
      <c r="V245" s="73"/>
      <c r="W245" s="73"/>
    </row>
    <row r="246" spans="1:23" ht="15.75" customHeight="1">
      <c r="A246" s="78" t="str">
        <f t="shared" si="104"/>
        <v>Urea</v>
      </c>
      <c r="B246" s="78"/>
      <c r="C246" s="79">
        <v>0</v>
      </c>
      <c r="D246" s="80">
        <f t="shared" ref="D246:J246" si="106">C115*$C$246*D124</f>
        <v>0</v>
      </c>
      <c r="E246" s="80">
        <f t="shared" si="106"/>
        <v>0</v>
      </c>
      <c r="F246" s="80">
        <f t="shared" si="106"/>
        <v>0</v>
      </c>
      <c r="G246" s="80">
        <f t="shared" si="106"/>
        <v>0</v>
      </c>
      <c r="H246" s="80">
        <f t="shared" si="106"/>
        <v>0</v>
      </c>
      <c r="I246" s="80">
        <f t="shared" si="106"/>
        <v>0</v>
      </c>
      <c r="J246" s="80">
        <f t="shared" si="106"/>
        <v>0</v>
      </c>
      <c r="K246" s="73"/>
      <c r="L246" s="73"/>
      <c r="M246" s="73"/>
      <c r="N246" s="73"/>
      <c r="O246" s="73"/>
      <c r="P246" s="73"/>
      <c r="Q246" s="73"/>
      <c r="R246" s="73"/>
      <c r="S246" s="73"/>
      <c r="T246" s="73"/>
      <c r="U246" s="73"/>
      <c r="V246" s="73"/>
      <c r="W246" s="73"/>
    </row>
    <row r="247" spans="1:23" ht="15.75" customHeight="1">
      <c r="A247" s="78" t="str">
        <f t="shared" si="104"/>
        <v>DAP</v>
      </c>
      <c r="B247" s="78"/>
      <c r="C247" s="79">
        <v>0</v>
      </c>
      <c r="D247" s="80">
        <f t="shared" ref="D247:J247" si="107">C116*$C$247*D124</f>
        <v>0</v>
      </c>
      <c r="E247" s="80">
        <f t="shared" si="107"/>
        <v>0</v>
      </c>
      <c r="F247" s="80">
        <f t="shared" si="107"/>
        <v>0</v>
      </c>
      <c r="G247" s="80">
        <f t="shared" si="107"/>
        <v>0</v>
      </c>
      <c r="H247" s="80">
        <f t="shared" si="107"/>
        <v>0</v>
      </c>
      <c r="I247" s="80">
        <f t="shared" si="107"/>
        <v>0</v>
      </c>
      <c r="J247" s="80">
        <f t="shared" si="107"/>
        <v>0</v>
      </c>
      <c r="K247" s="73"/>
      <c r="L247" s="73"/>
      <c r="M247" s="73"/>
      <c r="N247" s="73"/>
      <c r="O247" s="73"/>
      <c r="P247" s="73"/>
      <c r="Q247" s="73"/>
      <c r="R247" s="73"/>
      <c r="S247" s="73"/>
      <c r="T247" s="73"/>
      <c r="U247" s="73"/>
      <c r="V247" s="73"/>
      <c r="W247" s="73"/>
    </row>
    <row r="248" spans="1:23" ht="15.75" customHeight="1">
      <c r="A248" s="78"/>
      <c r="B248" s="78"/>
      <c r="C248" s="80"/>
      <c r="D248" s="80"/>
      <c r="E248" s="80"/>
      <c r="F248" s="80"/>
      <c r="G248" s="80"/>
      <c r="H248" s="80"/>
      <c r="I248" s="80"/>
      <c r="J248" s="80"/>
      <c r="K248" s="73"/>
      <c r="L248" s="73"/>
      <c r="M248" s="73"/>
      <c r="N248" s="73"/>
      <c r="O248" s="73"/>
      <c r="P248" s="73"/>
      <c r="Q248" s="73"/>
      <c r="R248" s="73"/>
      <c r="S248" s="73"/>
      <c r="T248" s="73"/>
      <c r="U248" s="73"/>
      <c r="V248" s="73"/>
      <c r="W248" s="73"/>
    </row>
    <row r="249" spans="1:23" ht="15.75" customHeight="1">
      <c r="A249" s="78" t="str">
        <f t="shared" ref="A249:A251" si="108">A186</f>
        <v>Pesticide</v>
      </c>
      <c r="B249" s="78"/>
      <c r="C249" s="80"/>
      <c r="D249" s="80"/>
      <c r="E249" s="80"/>
      <c r="F249" s="80"/>
      <c r="G249" s="80"/>
      <c r="H249" s="80"/>
      <c r="I249" s="80"/>
      <c r="J249" s="80"/>
      <c r="K249" s="73"/>
      <c r="L249" s="73"/>
      <c r="M249" s="73"/>
      <c r="N249" s="73"/>
      <c r="O249" s="73"/>
      <c r="P249" s="73"/>
      <c r="Q249" s="73"/>
      <c r="R249" s="73"/>
      <c r="S249" s="73"/>
      <c r="T249" s="73"/>
      <c r="U249" s="73"/>
      <c r="V249" s="73"/>
      <c r="W249" s="73"/>
    </row>
    <row r="250" spans="1:23" ht="15.75" customHeight="1">
      <c r="A250" s="78" t="str">
        <f t="shared" si="108"/>
        <v>Dupont Coragen</v>
      </c>
      <c r="B250" s="78"/>
      <c r="C250" s="79">
        <v>0</v>
      </c>
      <c r="D250" s="80">
        <f t="shared" ref="D250:J250" si="109">C118*$C$250*D124</f>
        <v>0</v>
      </c>
      <c r="E250" s="80">
        <f t="shared" si="109"/>
        <v>0</v>
      </c>
      <c r="F250" s="80">
        <f t="shared" si="109"/>
        <v>0</v>
      </c>
      <c r="G250" s="80">
        <f t="shared" si="109"/>
        <v>0</v>
      </c>
      <c r="H250" s="80">
        <f t="shared" si="109"/>
        <v>0</v>
      </c>
      <c r="I250" s="80">
        <f t="shared" si="109"/>
        <v>0</v>
      </c>
      <c r="J250" s="80">
        <f t="shared" si="109"/>
        <v>0</v>
      </c>
      <c r="K250" s="73"/>
      <c r="L250" s="73"/>
      <c r="M250" s="73"/>
      <c r="N250" s="73"/>
      <c r="O250" s="73"/>
      <c r="P250" s="73"/>
      <c r="Q250" s="73"/>
      <c r="R250" s="73"/>
      <c r="S250" s="73"/>
      <c r="T250" s="73"/>
      <c r="U250" s="73"/>
      <c r="V250" s="73"/>
      <c r="W250" s="73"/>
    </row>
    <row r="251" spans="1:23" ht="15.75" customHeight="1">
      <c r="A251" s="78" t="str">
        <f t="shared" si="108"/>
        <v>Confidor Boyer</v>
      </c>
      <c r="B251" s="78"/>
      <c r="C251" s="79">
        <v>0</v>
      </c>
      <c r="D251" s="80">
        <f t="shared" ref="D251:J251" si="110">C119*$C$251*D124</f>
        <v>0</v>
      </c>
      <c r="E251" s="80">
        <f t="shared" si="110"/>
        <v>0</v>
      </c>
      <c r="F251" s="80">
        <f t="shared" si="110"/>
        <v>0</v>
      </c>
      <c r="G251" s="80">
        <f t="shared" si="110"/>
        <v>0</v>
      </c>
      <c r="H251" s="80">
        <f t="shared" si="110"/>
        <v>0</v>
      </c>
      <c r="I251" s="80">
        <f t="shared" si="110"/>
        <v>0</v>
      </c>
      <c r="J251" s="80">
        <f t="shared" si="110"/>
        <v>0</v>
      </c>
      <c r="K251" s="73"/>
      <c r="L251" s="73"/>
      <c r="M251" s="73"/>
      <c r="N251" s="73"/>
      <c r="O251" s="73"/>
      <c r="P251" s="73"/>
      <c r="Q251" s="73"/>
      <c r="R251" s="73"/>
      <c r="S251" s="73"/>
      <c r="T251" s="73"/>
      <c r="U251" s="73"/>
      <c r="V251" s="73"/>
      <c r="W251" s="73"/>
    </row>
    <row r="252" spans="1:23" ht="15.75" customHeight="1">
      <c r="A252" s="78"/>
      <c r="B252" s="78"/>
      <c r="C252" s="80"/>
      <c r="D252" s="80"/>
      <c r="E252" s="80"/>
      <c r="F252" s="80"/>
      <c r="G252" s="80"/>
      <c r="H252" s="80"/>
      <c r="I252" s="80"/>
      <c r="J252" s="80"/>
      <c r="K252" s="73"/>
      <c r="L252" s="73"/>
      <c r="M252" s="73"/>
      <c r="N252" s="73"/>
      <c r="O252" s="73"/>
      <c r="P252" s="73"/>
      <c r="Q252" s="73"/>
      <c r="R252" s="73"/>
      <c r="S252" s="73"/>
      <c r="T252" s="73"/>
      <c r="U252" s="73"/>
      <c r="V252" s="73"/>
      <c r="W252" s="73"/>
    </row>
    <row r="253" spans="1:23" ht="15.75" customHeight="1">
      <c r="A253" s="78" t="s">
        <v>666</v>
      </c>
      <c r="B253" s="78"/>
      <c r="C253" s="79">
        <v>0</v>
      </c>
      <c r="D253" s="80">
        <f t="shared" ref="D253:J253" si="111">(SUM(C63:C119)/50)*$C$253*D124</f>
        <v>0</v>
      </c>
      <c r="E253" s="80">
        <f t="shared" si="111"/>
        <v>0</v>
      </c>
      <c r="F253" s="80">
        <f t="shared" si="111"/>
        <v>0</v>
      </c>
      <c r="G253" s="80">
        <f t="shared" si="111"/>
        <v>0</v>
      </c>
      <c r="H253" s="80">
        <f t="shared" si="111"/>
        <v>0</v>
      </c>
      <c r="I253" s="80">
        <f t="shared" si="111"/>
        <v>0</v>
      </c>
      <c r="J253" s="80">
        <f t="shared" si="111"/>
        <v>0</v>
      </c>
      <c r="K253" s="73"/>
      <c r="L253" s="73"/>
      <c r="M253" s="73"/>
      <c r="N253" s="73"/>
      <c r="O253" s="73"/>
      <c r="P253" s="73"/>
      <c r="Q253" s="73"/>
      <c r="R253" s="73"/>
      <c r="S253" s="73"/>
      <c r="T253" s="73"/>
      <c r="U253" s="73"/>
      <c r="V253" s="73"/>
      <c r="W253" s="73"/>
    </row>
    <row r="254" spans="1:23" ht="15.75" customHeight="1">
      <c r="A254" s="78" t="s">
        <v>667</v>
      </c>
      <c r="B254" s="78"/>
      <c r="C254" s="79">
        <v>0</v>
      </c>
      <c r="D254" s="80">
        <f>(SUM(C63:C119)/50)*$C$254*D124</f>
        <v>0</v>
      </c>
      <c r="E254" s="80">
        <f t="shared" ref="E254:J254" si="112">(SUM(D63:D119)/50)*$C$254*E124</f>
        <v>0</v>
      </c>
      <c r="F254" s="80">
        <f t="shared" si="112"/>
        <v>0</v>
      </c>
      <c r="G254" s="80">
        <f t="shared" si="112"/>
        <v>0</v>
      </c>
      <c r="H254" s="80">
        <f t="shared" si="112"/>
        <v>0</v>
      </c>
      <c r="I254" s="80">
        <f t="shared" si="112"/>
        <v>0</v>
      </c>
      <c r="J254" s="80">
        <f t="shared" si="112"/>
        <v>0</v>
      </c>
      <c r="K254" s="73"/>
      <c r="L254" s="73"/>
      <c r="M254" s="73"/>
      <c r="N254" s="73"/>
      <c r="O254" s="73"/>
      <c r="P254" s="73"/>
      <c r="Q254" s="73"/>
      <c r="R254" s="73"/>
      <c r="S254" s="73"/>
      <c r="T254" s="73"/>
      <c r="U254" s="73"/>
      <c r="V254" s="73"/>
      <c r="W254" s="73"/>
    </row>
    <row r="255" spans="1:23" ht="15.75" customHeight="1">
      <c r="A255" s="78"/>
      <c r="B255" s="78"/>
      <c r="C255" s="79">
        <v>0</v>
      </c>
      <c r="D255" s="287"/>
      <c r="E255" s="80"/>
      <c r="F255" s="80"/>
      <c r="G255" s="80"/>
      <c r="H255" s="80"/>
      <c r="I255" s="80"/>
      <c r="J255" s="80"/>
      <c r="K255" s="73"/>
      <c r="L255" s="73"/>
      <c r="M255" s="73"/>
      <c r="N255" s="73"/>
      <c r="O255" s="73"/>
      <c r="P255" s="73"/>
      <c r="Q255" s="73"/>
      <c r="R255" s="73"/>
      <c r="S255" s="73"/>
      <c r="T255" s="73"/>
      <c r="U255" s="73"/>
      <c r="V255" s="73"/>
      <c r="W255" s="73"/>
    </row>
    <row r="256" spans="1:23" ht="15.75" customHeight="1">
      <c r="A256" s="78"/>
      <c r="B256" s="78"/>
      <c r="C256" s="79"/>
      <c r="D256" s="287"/>
      <c r="E256" s="80"/>
      <c r="F256" s="80"/>
      <c r="G256" s="80"/>
      <c r="H256" s="80"/>
      <c r="I256" s="80"/>
      <c r="J256" s="80"/>
      <c r="K256" s="73"/>
      <c r="L256" s="73"/>
      <c r="M256" s="73"/>
      <c r="N256" s="73"/>
      <c r="O256" s="73"/>
      <c r="P256" s="73"/>
      <c r="Q256" s="73"/>
      <c r="R256" s="73"/>
      <c r="S256" s="73"/>
      <c r="T256" s="73"/>
      <c r="U256" s="73"/>
      <c r="V256" s="73"/>
      <c r="W256" s="73"/>
    </row>
    <row r="257" spans="1:23" ht="15.75" customHeight="1">
      <c r="A257" s="78"/>
      <c r="B257" s="78"/>
      <c r="C257" s="79"/>
      <c r="D257" s="287"/>
      <c r="E257" s="80"/>
      <c r="F257" s="80"/>
      <c r="G257" s="80"/>
      <c r="H257" s="80"/>
      <c r="I257" s="80"/>
      <c r="J257" s="80"/>
      <c r="K257" s="73"/>
      <c r="L257" s="73"/>
      <c r="M257" s="73"/>
      <c r="N257" s="73"/>
      <c r="O257" s="73"/>
      <c r="P257" s="73"/>
      <c r="Q257" s="73"/>
      <c r="R257" s="73"/>
      <c r="S257" s="73"/>
      <c r="T257" s="73"/>
      <c r="U257" s="73"/>
      <c r="V257" s="73"/>
      <c r="W257" s="73"/>
    </row>
    <row r="258" spans="1:23" ht="15.75" customHeight="1">
      <c r="A258" s="78"/>
      <c r="B258" s="78"/>
      <c r="C258" s="79"/>
      <c r="D258" s="287"/>
      <c r="E258" s="80"/>
      <c r="F258" s="80"/>
      <c r="G258" s="80"/>
      <c r="H258" s="80"/>
      <c r="I258" s="80"/>
      <c r="J258" s="80"/>
      <c r="K258" s="73"/>
      <c r="L258" s="73"/>
      <c r="M258" s="73"/>
      <c r="N258" s="73"/>
      <c r="O258" s="73"/>
      <c r="P258" s="73"/>
      <c r="Q258" s="73"/>
      <c r="R258" s="73"/>
      <c r="S258" s="73"/>
      <c r="T258" s="73"/>
      <c r="U258" s="73"/>
      <c r="V258" s="73"/>
      <c r="W258" s="73"/>
    </row>
    <row r="259" spans="1:23" ht="15.75" customHeight="1">
      <c r="A259" s="78" t="s">
        <v>578</v>
      </c>
      <c r="B259" s="78"/>
      <c r="C259" s="80"/>
      <c r="D259" s="287"/>
      <c r="E259" s="80">
        <f>'5.Closing Stock &amp; W Capital'!F6</f>
        <v>0</v>
      </c>
      <c r="F259" s="80">
        <f>'5.Closing Stock &amp; W Capital'!G6</f>
        <v>0</v>
      </c>
      <c r="G259" s="80">
        <f>'5.Closing Stock &amp; W Capital'!H6</f>
        <v>0</v>
      </c>
      <c r="H259" s="80">
        <f>'5.Closing Stock &amp; W Capital'!I6</f>
        <v>0</v>
      </c>
      <c r="I259" s="80">
        <f>'5.Closing Stock &amp; W Capital'!J6</f>
        <v>0</v>
      </c>
      <c r="J259" s="80">
        <f>'5.Closing Stock &amp; W Capital'!K6</f>
        <v>0</v>
      </c>
      <c r="K259" s="73"/>
      <c r="L259" s="73"/>
      <c r="M259" s="73"/>
      <c r="N259" s="73"/>
      <c r="O259" s="73"/>
      <c r="P259" s="73"/>
      <c r="Q259" s="73"/>
      <c r="R259" s="73"/>
      <c r="S259" s="73"/>
      <c r="T259" s="73"/>
      <c r="U259" s="73"/>
      <c r="V259" s="73"/>
      <c r="W259" s="73"/>
    </row>
    <row r="260" spans="1:23" ht="15.75" customHeight="1">
      <c r="A260" s="78" t="s">
        <v>579</v>
      </c>
      <c r="B260" s="78"/>
      <c r="C260" s="78"/>
      <c r="D260" s="287">
        <f>'5.Closing Stock &amp; W Capital'!E15</f>
        <v>0</v>
      </c>
      <c r="E260" s="80">
        <f>'5.Closing Stock &amp; W Capital'!F15</f>
        <v>0</v>
      </c>
      <c r="F260" s="80">
        <f>'5.Closing Stock &amp; W Capital'!G15</f>
        <v>0</v>
      </c>
      <c r="G260" s="80">
        <f>'5.Closing Stock &amp; W Capital'!H15</f>
        <v>0</v>
      </c>
      <c r="H260" s="80">
        <f>'5.Closing Stock &amp; W Capital'!I15</f>
        <v>0</v>
      </c>
      <c r="I260" s="80">
        <f>'5.Closing Stock &amp; W Capital'!J15</f>
        <v>0</v>
      </c>
      <c r="J260" s="80">
        <f>'5.Closing Stock &amp; W Capital'!K15</f>
        <v>0</v>
      </c>
      <c r="K260" s="73"/>
      <c r="L260" s="73"/>
      <c r="M260" s="73"/>
      <c r="N260" s="73"/>
      <c r="O260" s="73"/>
      <c r="P260" s="73"/>
      <c r="Q260" s="73"/>
      <c r="R260" s="73"/>
      <c r="S260" s="73"/>
      <c r="T260" s="73"/>
      <c r="U260" s="73"/>
      <c r="V260" s="73"/>
      <c r="W260" s="73"/>
    </row>
    <row r="261" spans="1:23" ht="15.75" customHeight="1">
      <c r="A261" s="78"/>
      <c r="B261" s="78"/>
      <c r="C261" s="78"/>
      <c r="D261" s="73"/>
      <c r="E261" s="73"/>
      <c r="F261" s="73"/>
      <c r="G261" s="73"/>
      <c r="H261" s="73"/>
      <c r="I261" s="73"/>
      <c r="J261" s="73"/>
      <c r="K261" s="73"/>
      <c r="L261" s="73"/>
      <c r="M261" s="73"/>
      <c r="N261" s="73"/>
      <c r="O261" s="73"/>
      <c r="P261" s="73"/>
      <c r="Q261" s="73"/>
      <c r="R261" s="73"/>
      <c r="S261" s="73"/>
      <c r="T261" s="73"/>
      <c r="U261" s="73"/>
      <c r="V261" s="73"/>
      <c r="W261" s="73"/>
    </row>
    <row r="262" spans="1:23" ht="15.75" customHeight="1">
      <c r="A262" s="81" t="s">
        <v>347</v>
      </c>
      <c r="B262" s="81"/>
      <c r="C262" s="82"/>
      <c r="D262" s="82">
        <f t="shared" ref="D262:J262" si="113">SUM(D197:D258)+D259-D260</f>
        <v>0</v>
      </c>
      <c r="E262" s="82">
        <f t="shared" si="113"/>
        <v>0</v>
      </c>
      <c r="F262" s="82">
        <f t="shared" si="113"/>
        <v>0</v>
      </c>
      <c r="G262" s="82">
        <f t="shared" si="113"/>
        <v>0</v>
      </c>
      <c r="H262" s="82">
        <f t="shared" si="113"/>
        <v>0</v>
      </c>
      <c r="I262" s="82">
        <f t="shared" si="113"/>
        <v>0</v>
      </c>
      <c r="J262" s="82">
        <f t="shared" si="113"/>
        <v>0</v>
      </c>
      <c r="K262" s="73"/>
      <c r="L262" s="73"/>
      <c r="M262" s="73"/>
      <c r="N262" s="73"/>
      <c r="O262" s="73"/>
      <c r="P262" s="73"/>
      <c r="Q262" s="73"/>
      <c r="R262" s="73"/>
      <c r="S262" s="73"/>
      <c r="T262" s="73"/>
      <c r="U262" s="73"/>
      <c r="V262" s="73"/>
      <c r="W262" s="73"/>
    </row>
    <row r="263" spans="1:23" ht="15.75" customHeight="1">
      <c r="A263" s="78"/>
      <c r="B263" s="78"/>
      <c r="C263" s="80"/>
      <c r="D263" s="80"/>
      <c r="E263" s="80"/>
      <c r="F263" s="80"/>
      <c r="G263" s="80"/>
      <c r="H263" s="80"/>
      <c r="I263" s="80"/>
      <c r="J263" s="80"/>
      <c r="K263" s="73"/>
      <c r="L263" s="73"/>
      <c r="M263" s="73"/>
      <c r="N263" s="73"/>
      <c r="O263" s="73"/>
      <c r="P263" s="73"/>
      <c r="Q263" s="73"/>
      <c r="R263" s="73"/>
      <c r="S263" s="73"/>
      <c r="T263" s="73"/>
      <c r="U263" s="73"/>
      <c r="V263" s="73"/>
      <c r="W263" s="73"/>
    </row>
    <row r="264" spans="1:23" ht="15.75" customHeight="1">
      <c r="A264" s="81" t="s">
        <v>348</v>
      </c>
      <c r="B264" s="81"/>
      <c r="C264" s="80"/>
      <c r="D264" s="80"/>
      <c r="E264" s="80"/>
      <c r="F264" s="80"/>
      <c r="G264" s="80"/>
      <c r="H264" s="80"/>
      <c r="I264" s="80"/>
      <c r="J264" s="80"/>
      <c r="K264" s="73"/>
      <c r="L264" s="73"/>
      <c r="M264" s="73"/>
      <c r="N264" s="73"/>
      <c r="O264" s="73"/>
      <c r="P264" s="73"/>
      <c r="Q264" s="73"/>
      <c r="R264" s="73"/>
      <c r="S264" s="73"/>
      <c r="T264" s="73"/>
      <c r="U264" s="73"/>
      <c r="V264" s="73"/>
      <c r="W264" s="73"/>
    </row>
    <row r="265" spans="1:23" ht="15.75" customHeight="1">
      <c r="A265" s="78" t="s">
        <v>668</v>
      </c>
      <c r="B265" s="78">
        <v>0</v>
      </c>
      <c r="C265" s="79">
        <v>0</v>
      </c>
      <c r="D265" s="80">
        <f t="shared" ref="D265:J265" si="114">$B$265*$C$265*D124</f>
        <v>0</v>
      </c>
      <c r="E265" s="80">
        <f t="shared" si="114"/>
        <v>0</v>
      </c>
      <c r="F265" s="80">
        <f t="shared" si="114"/>
        <v>0</v>
      </c>
      <c r="G265" s="80">
        <f t="shared" si="114"/>
        <v>0</v>
      </c>
      <c r="H265" s="80">
        <f t="shared" si="114"/>
        <v>0</v>
      </c>
      <c r="I265" s="80">
        <f t="shared" si="114"/>
        <v>0</v>
      </c>
      <c r="J265" s="80">
        <f t="shared" si="114"/>
        <v>0</v>
      </c>
      <c r="K265" s="73"/>
      <c r="L265" s="73"/>
      <c r="M265" s="73"/>
      <c r="N265" s="73"/>
      <c r="O265" s="73"/>
      <c r="P265" s="73"/>
      <c r="Q265" s="73"/>
      <c r="R265" s="73"/>
      <c r="S265" s="73"/>
      <c r="T265" s="73"/>
      <c r="U265" s="73"/>
      <c r="V265" s="73"/>
      <c r="W265" s="73"/>
    </row>
    <row r="266" spans="1:23" ht="15.75" customHeight="1">
      <c r="A266" s="78" t="s">
        <v>669</v>
      </c>
      <c r="B266" s="50">
        <v>0</v>
      </c>
      <c r="C266" s="79">
        <v>0</v>
      </c>
      <c r="D266" s="80">
        <f t="shared" ref="D266:J266" si="115">$B$266*$C$266*12*D124</f>
        <v>0</v>
      </c>
      <c r="E266" s="80">
        <f t="shared" si="115"/>
        <v>0</v>
      </c>
      <c r="F266" s="80">
        <f t="shared" si="115"/>
        <v>0</v>
      </c>
      <c r="G266" s="80">
        <f t="shared" si="115"/>
        <v>0</v>
      </c>
      <c r="H266" s="80">
        <f t="shared" si="115"/>
        <v>0</v>
      </c>
      <c r="I266" s="80">
        <f t="shared" si="115"/>
        <v>0</v>
      </c>
      <c r="J266" s="80">
        <f t="shared" si="115"/>
        <v>0</v>
      </c>
      <c r="K266" s="73"/>
      <c r="L266" s="73"/>
      <c r="M266" s="73"/>
      <c r="N266" s="73"/>
      <c r="O266" s="73"/>
      <c r="P266" s="73"/>
      <c r="Q266" s="73"/>
      <c r="R266" s="73"/>
      <c r="S266" s="73"/>
      <c r="T266" s="73"/>
      <c r="U266" s="73"/>
      <c r="V266" s="73"/>
      <c r="W266" s="73"/>
    </row>
    <row r="267" spans="1:23" ht="15.75" customHeight="1">
      <c r="A267" s="78" t="s">
        <v>670</v>
      </c>
      <c r="B267" s="50">
        <v>0</v>
      </c>
      <c r="C267" s="79">
        <v>0</v>
      </c>
      <c r="D267" s="80">
        <f t="shared" ref="D267:J267" si="116">$B$267*$C$267*12*D124</f>
        <v>0</v>
      </c>
      <c r="E267" s="80">
        <f t="shared" si="116"/>
        <v>0</v>
      </c>
      <c r="F267" s="80">
        <f t="shared" si="116"/>
        <v>0</v>
      </c>
      <c r="G267" s="80">
        <f t="shared" si="116"/>
        <v>0</v>
      </c>
      <c r="H267" s="80">
        <f t="shared" si="116"/>
        <v>0</v>
      </c>
      <c r="I267" s="80">
        <f t="shared" si="116"/>
        <v>0</v>
      </c>
      <c r="J267" s="80">
        <f t="shared" si="116"/>
        <v>0</v>
      </c>
      <c r="K267" s="73"/>
      <c r="L267" s="73"/>
      <c r="M267" s="73"/>
      <c r="N267" s="73"/>
      <c r="O267" s="73"/>
      <c r="P267" s="73"/>
      <c r="Q267" s="73"/>
      <c r="R267" s="73"/>
      <c r="S267" s="73"/>
      <c r="T267" s="73"/>
      <c r="U267" s="73"/>
      <c r="V267" s="73"/>
      <c r="W267" s="73"/>
    </row>
    <row r="268" spans="1:23" ht="15.75" customHeight="1">
      <c r="A268" s="78" t="s">
        <v>671</v>
      </c>
      <c r="B268" s="78">
        <v>0</v>
      </c>
      <c r="C268" s="79">
        <v>0</v>
      </c>
      <c r="D268" s="80">
        <f t="shared" ref="D268:J268" si="117">$B$268*$C$268*D124</f>
        <v>0</v>
      </c>
      <c r="E268" s="80">
        <f t="shared" si="117"/>
        <v>0</v>
      </c>
      <c r="F268" s="80">
        <f t="shared" si="117"/>
        <v>0</v>
      </c>
      <c r="G268" s="80">
        <f t="shared" si="117"/>
        <v>0</v>
      </c>
      <c r="H268" s="80">
        <f t="shared" si="117"/>
        <v>0</v>
      </c>
      <c r="I268" s="80">
        <f t="shared" si="117"/>
        <v>0</v>
      </c>
      <c r="J268" s="80">
        <f t="shared" si="117"/>
        <v>0</v>
      </c>
      <c r="K268" s="73"/>
      <c r="L268" s="73"/>
      <c r="M268" s="73"/>
      <c r="N268" s="73"/>
      <c r="O268" s="73"/>
      <c r="P268" s="73"/>
      <c r="Q268" s="73"/>
      <c r="R268" s="73"/>
      <c r="S268" s="73"/>
      <c r="T268" s="73"/>
      <c r="U268" s="73"/>
      <c r="V268" s="73"/>
      <c r="W268" s="73"/>
    </row>
    <row r="269" spans="1:23" ht="15.75" customHeight="1">
      <c r="A269" s="78"/>
      <c r="B269" s="78"/>
      <c r="C269" s="79"/>
      <c r="D269" s="80"/>
      <c r="E269" s="80"/>
      <c r="F269" s="80"/>
      <c r="G269" s="80"/>
      <c r="H269" s="80"/>
      <c r="I269" s="80"/>
      <c r="J269" s="80"/>
      <c r="K269" s="73"/>
      <c r="L269" s="73"/>
      <c r="M269" s="73"/>
      <c r="N269" s="73"/>
      <c r="O269" s="73"/>
      <c r="P269" s="73"/>
      <c r="Q269" s="73"/>
      <c r="R269" s="73"/>
      <c r="S269" s="73"/>
      <c r="T269" s="73"/>
      <c r="U269" s="73"/>
      <c r="V269" s="73"/>
      <c r="W269" s="73"/>
    </row>
    <row r="270" spans="1:23" ht="15.75" customHeight="1">
      <c r="A270" s="78"/>
      <c r="B270" s="78"/>
      <c r="C270" s="79"/>
      <c r="D270" s="80"/>
      <c r="E270" s="80"/>
      <c r="F270" s="80"/>
      <c r="G270" s="80"/>
      <c r="H270" s="80"/>
      <c r="I270" s="80"/>
      <c r="J270" s="80"/>
      <c r="K270" s="73"/>
      <c r="L270" s="73"/>
      <c r="M270" s="73"/>
      <c r="N270" s="73"/>
      <c r="O270" s="73"/>
      <c r="P270" s="73"/>
      <c r="Q270" s="73"/>
      <c r="R270" s="73"/>
      <c r="S270" s="73"/>
      <c r="T270" s="73"/>
      <c r="U270" s="73"/>
      <c r="V270" s="73"/>
      <c r="W270" s="73"/>
    </row>
    <row r="271" spans="1:23" ht="15.75" customHeight="1">
      <c r="A271" s="78"/>
      <c r="B271" s="78"/>
      <c r="C271" s="79"/>
      <c r="D271" s="80"/>
      <c r="E271" s="80"/>
      <c r="F271" s="80"/>
      <c r="G271" s="80"/>
      <c r="H271" s="80"/>
      <c r="I271" s="80"/>
      <c r="J271" s="80"/>
      <c r="K271" s="73"/>
      <c r="L271" s="73"/>
      <c r="M271" s="73"/>
      <c r="N271" s="73"/>
      <c r="O271" s="73"/>
      <c r="P271" s="73"/>
      <c r="Q271" s="73"/>
      <c r="R271" s="73"/>
      <c r="S271" s="73"/>
      <c r="T271" s="73"/>
      <c r="U271" s="73"/>
      <c r="V271" s="73"/>
      <c r="W271" s="73"/>
    </row>
    <row r="272" spans="1:23" ht="15.75" customHeight="1">
      <c r="A272" s="78"/>
      <c r="B272" s="78"/>
      <c r="C272" s="79"/>
      <c r="D272" s="80"/>
      <c r="E272" s="80"/>
      <c r="F272" s="80"/>
      <c r="G272" s="80"/>
      <c r="H272" s="80"/>
      <c r="I272" s="80"/>
      <c r="J272" s="80"/>
      <c r="K272" s="73"/>
      <c r="L272" s="73"/>
      <c r="M272" s="73"/>
      <c r="N272" s="73"/>
      <c r="O272" s="73"/>
      <c r="P272" s="73"/>
      <c r="Q272" s="73"/>
      <c r="R272" s="73"/>
      <c r="S272" s="73"/>
      <c r="T272" s="73"/>
      <c r="U272" s="73"/>
      <c r="V272" s="73"/>
      <c r="W272" s="73"/>
    </row>
    <row r="273" spans="1:23" ht="15.75" customHeight="1">
      <c r="A273" s="81" t="s">
        <v>350</v>
      </c>
      <c r="B273" s="81"/>
      <c r="C273" s="82"/>
      <c r="D273" s="82">
        <f t="shared" ref="D273:J273" si="118">SUM(D265:D272)</f>
        <v>0</v>
      </c>
      <c r="E273" s="82">
        <f t="shared" si="118"/>
        <v>0</v>
      </c>
      <c r="F273" s="82">
        <f t="shared" si="118"/>
        <v>0</v>
      </c>
      <c r="G273" s="82">
        <f t="shared" si="118"/>
        <v>0</v>
      </c>
      <c r="H273" s="82">
        <f t="shared" si="118"/>
        <v>0</v>
      </c>
      <c r="I273" s="82">
        <f t="shared" si="118"/>
        <v>0</v>
      </c>
      <c r="J273" s="82">
        <f t="shared" si="118"/>
        <v>0</v>
      </c>
      <c r="K273" s="73"/>
      <c r="L273" s="73"/>
      <c r="M273" s="73"/>
      <c r="N273" s="73"/>
      <c r="O273" s="73"/>
      <c r="P273" s="73"/>
      <c r="Q273" s="73"/>
      <c r="R273" s="73"/>
      <c r="S273" s="73"/>
      <c r="T273" s="73"/>
      <c r="U273" s="73"/>
      <c r="V273" s="73"/>
      <c r="W273" s="73"/>
    </row>
    <row r="274" spans="1:23" ht="15.75" customHeight="1">
      <c r="A274" s="192" t="s">
        <v>672</v>
      </c>
      <c r="B274" s="192"/>
      <c r="C274" s="195"/>
      <c r="D274" s="82">
        <f t="shared" ref="D274:J274" si="119">D262+D273</f>
        <v>0</v>
      </c>
      <c r="E274" s="82">
        <f t="shared" si="119"/>
        <v>0</v>
      </c>
      <c r="F274" s="82">
        <f t="shared" si="119"/>
        <v>0</v>
      </c>
      <c r="G274" s="82">
        <f t="shared" si="119"/>
        <v>0</v>
      </c>
      <c r="H274" s="82">
        <f t="shared" si="119"/>
        <v>0</v>
      </c>
      <c r="I274" s="82">
        <f t="shared" si="119"/>
        <v>0</v>
      </c>
      <c r="J274" s="82">
        <f t="shared" si="119"/>
        <v>0</v>
      </c>
      <c r="K274" s="73"/>
      <c r="L274" s="73"/>
      <c r="M274" s="73"/>
      <c r="N274" s="73"/>
      <c r="O274" s="73"/>
      <c r="P274" s="73"/>
      <c r="Q274" s="73"/>
      <c r="R274" s="73"/>
      <c r="S274" s="73"/>
      <c r="T274" s="73"/>
      <c r="U274" s="73"/>
      <c r="V274" s="73"/>
      <c r="W274" s="73"/>
    </row>
    <row r="275" spans="1:23" ht="15.75" customHeight="1">
      <c r="A275" s="78"/>
      <c r="B275" s="78"/>
      <c r="C275" s="80"/>
      <c r="D275" s="80"/>
      <c r="E275" s="80"/>
      <c r="F275" s="80"/>
      <c r="G275" s="80"/>
      <c r="H275" s="80"/>
      <c r="I275" s="80"/>
      <c r="J275" s="80"/>
      <c r="K275" s="73"/>
      <c r="L275" s="73"/>
      <c r="M275" s="73"/>
      <c r="N275" s="73"/>
      <c r="O275" s="73"/>
      <c r="P275" s="73"/>
      <c r="Q275" s="73"/>
      <c r="R275" s="73"/>
      <c r="S275" s="73"/>
      <c r="T275" s="73"/>
      <c r="U275" s="73"/>
      <c r="V275" s="73"/>
      <c r="W275" s="73"/>
    </row>
    <row r="276" spans="1:23" ht="15.75" customHeight="1">
      <c r="A276" s="192" t="s">
        <v>395</v>
      </c>
      <c r="B276" s="192"/>
      <c r="C276" s="195"/>
      <c r="D276" s="82">
        <f t="shared" ref="D276:J276" si="120">D191-D274</f>
        <v>0</v>
      </c>
      <c r="E276" s="82">
        <f t="shared" si="120"/>
        <v>0</v>
      </c>
      <c r="F276" s="82">
        <f t="shared" si="120"/>
        <v>0</v>
      </c>
      <c r="G276" s="82">
        <f t="shared" si="120"/>
        <v>0</v>
      </c>
      <c r="H276" s="82">
        <f t="shared" si="120"/>
        <v>0</v>
      </c>
      <c r="I276" s="82">
        <f t="shared" si="120"/>
        <v>0</v>
      </c>
      <c r="J276" s="82">
        <f t="shared" si="120"/>
        <v>0</v>
      </c>
      <c r="K276" s="73"/>
      <c r="L276" s="73"/>
      <c r="M276" s="73"/>
      <c r="N276" s="73"/>
      <c r="O276" s="73"/>
      <c r="P276" s="73"/>
      <c r="Q276" s="73"/>
      <c r="R276" s="73"/>
      <c r="S276" s="73"/>
      <c r="T276" s="73"/>
      <c r="U276" s="73"/>
      <c r="V276" s="73"/>
      <c r="W276" s="73"/>
    </row>
    <row r="277" spans="1:23" ht="15.75" customHeight="1">
      <c r="A277" s="97"/>
      <c r="B277" s="97"/>
      <c r="C277" s="97"/>
      <c r="D277" s="73"/>
      <c r="E277" s="73"/>
      <c r="F277" s="73"/>
      <c r="G277" s="73"/>
      <c r="H277" s="73"/>
      <c r="I277" s="73"/>
      <c r="J277" s="73"/>
      <c r="K277" s="73"/>
      <c r="L277" s="73"/>
      <c r="M277" s="73"/>
      <c r="N277" s="73"/>
      <c r="O277" s="73"/>
      <c r="P277" s="73"/>
      <c r="Q277" s="73"/>
      <c r="R277" s="73"/>
      <c r="S277" s="73"/>
      <c r="T277" s="73"/>
      <c r="U277" s="73"/>
      <c r="V277" s="73"/>
      <c r="W277" s="73"/>
    </row>
    <row r="278" spans="1:23" ht="15.75" customHeight="1">
      <c r="A278" s="73"/>
      <c r="B278" s="73"/>
      <c r="C278" s="73"/>
      <c r="D278" s="73"/>
      <c r="E278" s="73"/>
      <c r="F278" s="73"/>
      <c r="G278" s="73"/>
      <c r="H278" s="73"/>
      <c r="I278" s="73"/>
      <c r="J278" s="73"/>
      <c r="K278" s="73"/>
      <c r="L278" s="73"/>
      <c r="M278" s="73"/>
      <c r="N278" s="73"/>
      <c r="O278" s="73"/>
      <c r="P278" s="73"/>
      <c r="Q278" s="73"/>
      <c r="R278" s="73"/>
      <c r="S278" s="73"/>
      <c r="T278" s="73"/>
      <c r="U278" s="73"/>
      <c r="V278" s="73"/>
      <c r="W278" s="73"/>
    </row>
    <row r="279" spans="1:23" ht="15.75" customHeight="1">
      <c r="A279" s="342" t="s">
        <v>673</v>
      </c>
      <c r="B279" s="324"/>
      <c r="C279" s="324"/>
      <c r="D279" s="324"/>
      <c r="E279" s="324"/>
      <c r="F279" s="324"/>
      <c r="G279" s="324"/>
      <c r="H279" s="324"/>
      <c r="I279" s="324"/>
      <c r="J279" s="324"/>
    </row>
    <row r="280" spans="1:23" ht="15.75" customHeight="1"/>
    <row r="281" spans="1:23" ht="15.75" customHeight="1">
      <c r="A281" t="s">
        <v>306</v>
      </c>
    </row>
    <row r="282" spans="1:23" ht="15.75" customHeight="1">
      <c r="A282">
        <v>1</v>
      </c>
      <c r="B282" t="s">
        <v>585</v>
      </c>
    </row>
    <row r="283" spans="1:23" ht="15.75" customHeight="1">
      <c r="A283">
        <v>2</v>
      </c>
      <c r="B283" t="s">
        <v>586</v>
      </c>
    </row>
    <row r="284" spans="1:23" ht="15.75" customHeight="1">
      <c r="A284">
        <v>3</v>
      </c>
      <c r="B284" s="73" t="s">
        <v>587</v>
      </c>
    </row>
  </sheetData>
  <mergeCells count="3">
    <mergeCell ref="A122:J122"/>
    <mergeCell ref="A2:I2"/>
    <mergeCell ref="A279:J279"/>
  </mergeCells>
  <pageMargins left="0.7" right="0.05" top="0.25" bottom="0.05" header="0" footer="0"/>
  <pageSetup paperSize="9" scale="68" orientation="portrait" r:id="rId1"/>
  <rowBreaks count="1" manualBreakCount="1">
    <brk id="229" max="16383" man="1"/>
  </rowBreaks>
  <colBreaks count="1" manualBreakCount="1">
    <brk id="10" man="1"/>
  </colBreaks>
</worksheet>
</file>

<file path=xl/worksheets/sheet18.xml><?xml version="1.0" encoding="utf-8"?>
<worksheet xmlns="http://schemas.openxmlformats.org/spreadsheetml/2006/main" xmlns:r="http://schemas.openxmlformats.org/officeDocument/2006/relationships">
  <dimension ref="A1:J188"/>
  <sheetViews>
    <sheetView view="pageBreakPreview" zoomScale="98" zoomScaleSheetLayoutView="98" workbookViewId="0">
      <selection sqref="A1:H1"/>
    </sheetView>
  </sheetViews>
  <sheetFormatPr defaultColWidth="14.42578125" defaultRowHeight="15" customHeight="1"/>
  <cols>
    <col min="1" max="1" width="35.5703125" customWidth="1"/>
    <col min="2" max="2" width="11.5703125" customWidth="1"/>
    <col min="3" max="4" width="8.140625" customWidth="1"/>
    <col min="5" max="5" width="10" customWidth="1"/>
    <col min="6" max="8" width="8.28515625" bestFit="1" customWidth="1"/>
    <col min="9" max="9" width="11.28515625" customWidth="1"/>
    <col min="10" max="10" width="11.85546875" customWidth="1"/>
    <col min="11" max="11" width="8.7109375" customWidth="1"/>
  </cols>
  <sheetData>
    <row r="1" spans="1:8" ht="18.75">
      <c r="A1" s="347" t="s">
        <v>674</v>
      </c>
      <c r="B1" s="324"/>
      <c r="C1" s="324"/>
      <c r="D1" s="324"/>
      <c r="E1" s="324"/>
      <c r="F1" s="324"/>
      <c r="G1" s="324"/>
      <c r="H1" s="324"/>
    </row>
    <row r="2" spans="1:8" ht="18.75">
      <c r="A2" s="340" t="s">
        <v>675</v>
      </c>
      <c r="B2" s="324"/>
      <c r="C2" s="324"/>
      <c r="D2" s="324"/>
      <c r="E2" s="324"/>
      <c r="F2" s="324"/>
      <c r="G2" s="324"/>
      <c r="H2" s="324"/>
    </row>
    <row r="3" spans="1:8">
      <c r="A3" s="73" t="s">
        <v>124</v>
      </c>
      <c r="B3" s="263">
        <v>1</v>
      </c>
      <c r="C3" s="73" t="s">
        <v>589</v>
      </c>
      <c r="D3" s="73"/>
      <c r="E3" s="73"/>
      <c r="F3" s="73"/>
      <c r="G3" s="73"/>
      <c r="H3" s="73"/>
    </row>
    <row r="4" spans="1:8">
      <c r="A4" s="73" t="s">
        <v>560</v>
      </c>
      <c r="B4" s="121">
        <v>8</v>
      </c>
      <c r="C4" s="73"/>
      <c r="D4" s="73"/>
      <c r="E4" s="73"/>
      <c r="F4" s="73"/>
      <c r="G4" s="73"/>
      <c r="H4" s="73"/>
    </row>
    <row r="5" spans="1:8">
      <c r="A5" s="129" t="s">
        <v>142</v>
      </c>
      <c r="B5" s="130" t="s">
        <v>145</v>
      </c>
      <c r="C5" s="130" t="s">
        <v>146</v>
      </c>
      <c r="D5" s="130" t="s">
        <v>147</v>
      </c>
      <c r="E5" s="130" t="s">
        <v>148</v>
      </c>
      <c r="F5" s="130" t="s">
        <v>149</v>
      </c>
      <c r="G5" s="130" t="s">
        <v>150</v>
      </c>
      <c r="H5" s="130" t="s">
        <v>151</v>
      </c>
    </row>
    <row r="6" spans="1:8">
      <c r="A6" s="78" t="s">
        <v>590</v>
      </c>
      <c r="B6" s="275">
        <f t="shared" ref="B6:H6" si="0">B33/($B$3*$B$4)</f>
        <v>0</v>
      </c>
      <c r="C6" s="275">
        <f t="shared" si="0"/>
        <v>0</v>
      </c>
      <c r="D6" s="275">
        <f t="shared" si="0"/>
        <v>0</v>
      </c>
      <c r="E6" s="275">
        <f t="shared" si="0"/>
        <v>0</v>
      </c>
      <c r="F6" s="275">
        <f t="shared" si="0"/>
        <v>0</v>
      </c>
      <c r="G6" s="275">
        <f t="shared" si="0"/>
        <v>0</v>
      </c>
      <c r="H6" s="275">
        <f t="shared" si="0"/>
        <v>0</v>
      </c>
    </row>
    <row r="7" spans="1:8">
      <c r="A7" s="78" t="str">
        <f>'11.F&amp;V Crop Production details'!A74</f>
        <v>Onion</v>
      </c>
      <c r="B7" s="78">
        <f>'11.F&amp;V Crop Production details'!B74</f>
        <v>0</v>
      </c>
      <c r="C7" s="78">
        <f>'11.F&amp;V Crop Production details'!C74</f>
        <v>0</v>
      </c>
      <c r="D7" s="78">
        <f>'11.F&amp;V Crop Production details'!D74</f>
        <v>0</v>
      </c>
      <c r="E7" s="78">
        <f>'11.F&amp;V Crop Production details'!E74</f>
        <v>0</v>
      </c>
      <c r="F7" s="78">
        <f>'11.F&amp;V Crop Production details'!F74</f>
        <v>0</v>
      </c>
      <c r="G7" s="78">
        <f>'11.F&amp;V Crop Production details'!G74</f>
        <v>0</v>
      </c>
      <c r="H7" s="78">
        <f>'11.F&amp;V Crop Production details'!H74</f>
        <v>0</v>
      </c>
    </row>
    <row r="8" spans="1:8">
      <c r="A8" s="78" t="str">
        <f>'11.F&amp;V Crop Production details'!A75</f>
        <v>Tomato</v>
      </c>
      <c r="B8" s="78">
        <f>'11.F&amp;V Crop Production details'!B75</f>
        <v>0</v>
      </c>
      <c r="C8" s="78">
        <f>'11.F&amp;V Crop Production details'!C75</f>
        <v>0</v>
      </c>
      <c r="D8" s="78">
        <f>'11.F&amp;V Crop Production details'!D75</f>
        <v>0</v>
      </c>
      <c r="E8" s="78">
        <f>'11.F&amp;V Crop Production details'!E75</f>
        <v>0</v>
      </c>
      <c r="F8" s="78">
        <f>'11.F&amp;V Crop Production details'!F75</f>
        <v>0</v>
      </c>
      <c r="G8" s="78">
        <f>'11.F&amp;V Crop Production details'!G75</f>
        <v>0</v>
      </c>
      <c r="H8" s="78">
        <f>'11.F&amp;V Crop Production details'!H75</f>
        <v>0</v>
      </c>
    </row>
    <row r="9" spans="1:8">
      <c r="A9" s="78" t="str">
        <f>'11.F&amp;V Crop Production details'!A76</f>
        <v>Okra</v>
      </c>
      <c r="B9" s="78">
        <f>'11.F&amp;V Crop Production details'!B76</f>
        <v>0</v>
      </c>
      <c r="C9" s="78">
        <f>'11.F&amp;V Crop Production details'!C76</f>
        <v>0</v>
      </c>
      <c r="D9" s="78">
        <f>'11.F&amp;V Crop Production details'!D76</f>
        <v>0</v>
      </c>
      <c r="E9" s="78">
        <f>'11.F&amp;V Crop Production details'!E76</f>
        <v>0</v>
      </c>
      <c r="F9" s="78">
        <f>'11.F&amp;V Crop Production details'!F76</f>
        <v>0</v>
      </c>
      <c r="G9" s="78">
        <f>'11.F&amp;V Crop Production details'!G76</f>
        <v>0</v>
      </c>
      <c r="H9" s="78">
        <f>'11.F&amp;V Crop Production details'!H76</f>
        <v>0</v>
      </c>
    </row>
    <row r="10" spans="1:8">
      <c r="A10" s="78" t="str">
        <f>'11.F&amp;V Crop Production details'!A77</f>
        <v>Chilli</v>
      </c>
      <c r="B10" s="78">
        <f>'11.F&amp;V Crop Production details'!B77</f>
        <v>0</v>
      </c>
      <c r="C10" s="78">
        <f>'11.F&amp;V Crop Production details'!C77</f>
        <v>0</v>
      </c>
      <c r="D10" s="78">
        <f>'11.F&amp;V Crop Production details'!D77</f>
        <v>0</v>
      </c>
      <c r="E10" s="78">
        <f>'11.F&amp;V Crop Production details'!E77</f>
        <v>0</v>
      </c>
      <c r="F10" s="78">
        <f>'11.F&amp;V Crop Production details'!F77</f>
        <v>0</v>
      </c>
      <c r="G10" s="78">
        <f>'11.F&amp;V Crop Production details'!G77</f>
        <v>0</v>
      </c>
      <c r="H10" s="78">
        <f>'11.F&amp;V Crop Production details'!H77</f>
        <v>0</v>
      </c>
    </row>
    <row r="11" spans="1:8">
      <c r="A11" s="78" t="str">
        <f>'11.F&amp;V Crop Production details'!A78</f>
        <v>Potato</v>
      </c>
      <c r="B11" s="78">
        <f>'11.F&amp;V Crop Production details'!B78</f>
        <v>0</v>
      </c>
      <c r="C11" s="78">
        <f>'11.F&amp;V Crop Production details'!C78</f>
        <v>0</v>
      </c>
      <c r="D11" s="78">
        <f>'11.F&amp;V Crop Production details'!D78</f>
        <v>0</v>
      </c>
      <c r="E11" s="78">
        <f>'11.F&amp;V Crop Production details'!E78</f>
        <v>0</v>
      </c>
      <c r="F11" s="78">
        <f>'11.F&amp;V Crop Production details'!F78</f>
        <v>0</v>
      </c>
      <c r="G11" s="78">
        <f>'11.F&amp;V Crop Production details'!G78</f>
        <v>0</v>
      </c>
      <c r="H11" s="78">
        <f>'11.F&amp;V Crop Production details'!H78</f>
        <v>0</v>
      </c>
    </row>
    <row r="12" spans="1:8">
      <c r="A12" s="78">
        <f>'11.F&amp;V Crop Production details'!A79</f>
        <v>0</v>
      </c>
      <c r="B12" s="78">
        <f>'11.F&amp;V Crop Production details'!B79</f>
        <v>0</v>
      </c>
      <c r="C12" s="78">
        <f>'11.F&amp;V Crop Production details'!C79</f>
        <v>0</v>
      </c>
      <c r="D12" s="78">
        <f>'11.F&amp;V Crop Production details'!D79</f>
        <v>0</v>
      </c>
      <c r="E12" s="78">
        <f>'11.F&amp;V Crop Production details'!E79</f>
        <v>0</v>
      </c>
      <c r="F12" s="78">
        <f>'11.F&amp;V Crop Production details'!F79</f>
        <v>0</v>
      </c>
      <c r="G12" s="78">
        <f>'11.F&amp;V Crop Production details'!G79</f>
        <v>0</v>
      </c>
      <c r="H12" s="78">
        <f>'11.F&amp;V Crop Production details'!H79</f>
        <v>0</v>
      </c>
    </row>
    <row r="13" spans="1:8">
      <c r="A13" s="78">
        <f>'11.F&amp;V Crop Production details'!A80</f>
        <v>0</v>
      </c>
      <c r="B13" s="78">
        <f>'11.F&amp;V Crop Production details'!B80</f>
        <v>0</v>
      </c>
      <c r="C13" s="78">
        <f>'11.F&amp;V Crop Production details'!C80</f>
        <v>0</v>
      </c>
      <c r="D13" s="78">
        <f>'11.F&amp;V Crop Production details'!D80</f>
        <v>0</v>
      </c>
      <c r="E13" s="78">
        <f>'11.F&amp;V Crop Production details'!E80</f>
        <v>0</v>
      </c>
      <c r="F13" s="78">
        <f>'11.F&amp;V Crop Production details'!F80</f>
        <v>0</v>
      </c>
      <c r="G13" s="78">
        <f>'11.F&amp;V Crop Production details'!G80</f>
        <v>0</v>
      </c>
      <c r="H13" s="78">
        <f>'11.F&amp;V Crop Production details'!H80</f>
        <v>0</v>
      </c>
    </row>
    <row r="14" spans="1:8">
      <c r="A14" s="78">
        <f>'11.F&amp;V Crop Production details'!A81</f>
        <v>0</v>
      </c>
      <c r="B14" s="78">
        <f>'11.F&amp;V Crop Production details'!B81</f>
        <v>0</v>
      </c>
      <c r="C14" s="78">
        <f>'11.F&amp;V Crop Production details'!C81</f>
        <v>0</v>
      </c>
      <c r="D14" s="78">
        <f>'11.F&amp;V Crop Production details'!D81</f>
        <v>0</v>
      </c>
      <c r="E14" s="78">
        <f>'11.F&amp;V Crop Production details'!E81</f>
        <v>0</v>
      </c>
      <c r="F14" s="78">
        <f>'11.F&amp;V Crop Production details'!F81</f>
        <v>0</v>
      </c>
      <c r="G14" s="78">
        <f>'11.F&amp;V Crop Production details'!G81</f>
        <v>0</v>
      </c>
      <c r="H14" s="78">
        <f>'11.F&amp;V Crop Production details'!H81</f>
        <v>0</v>
      </c>
    </row>
    <row r="15" spans="1:8" ht="15.75" customHeight="1">
      <c r="A15" s="78">
        <f>'11.F&amp;V Crop Production details'!A82</f>
        <v>0</v>
      </c>
      <c r="B15" s="78">
        <f>'11.F&amp;V Crop Production details'!B82</f>
        <v>0</v>
      </c>
      <c r="C15" s="78">
        <f>'11.F&amp;V Crop Production details'!C82</f>
        <v>0</v>
      </c>
      <c r="D15" s="78">
        <f>'11.F&amp;V Crop Production details'!D82</f>
        <v>0</v>
      </c>
      <c r="E15" s="78">
        <f>'11.F&amp;V Crop Production details'!E82</f>
        <v>0</v>
      </c>
      <c r="F15" s="78">
        <f>'11.F&amp;V Crop Production details'!F82</f>
        <v>0</v>
      </c>
      <c r="G15" s="78">
        <f>'11.F&amp;V Crop Production details'!G82</f>
        <v>0</v>
      </c>
      <c r="H15" s="78">
        <f>'11.F&amp;V Crop Production details'!H82</f>
        <v>0</v>
      </c>
    </row>
    <row r="16" spans="1:8" ht="15.75" customHeight="1">
      <c r="A16" s="78" t="str">
        <f>'11.F&amp;V Crop Production details'!A83</f>
        <v>Onion</v>
      </c>
      <c r="B16" s="78">
        <f>'11.F&amp;V Crop Production details'!B83</f>
        <v>0</v>
      </c>
      <c r="C16" s="78">
        <f>'11.F&amp;V Crop Production details'!C83</f>
        <v>0</v>
      </c>
      <c r="D16" s="78">
        <f>'11.F&amp;V Crop Production details'!D83</f>
        <v>0</v>
      </c>
      <c r="E16" s="78">
        <f>'11.F&amp;V Crop Production details'!E83</f>
        <v>0</v>
      </c>
      <c r="F16" s="78">
        <f>'11.F&amp;V Crop Production details'!F83</f>
        <v>0</v>
      </c>
      <c r="G16" s="78">
        <f>'11.F&amp;V Crop Production details'!G83</f>
        <v>0</v>
      </c>
      <c r="H16" s="78">
        <f>'11.F&amp;V Crop Production details'!H83</f>
        <v>0</v>
      </c>
    </row>
    <row r="17" spans="1:8" ht="15.75" customHeight="1">
      <c r="A17" s="78" t="str">
        <f>'11.F&amp;V Crop Production details'!A84</f>
        <v>Tomato</v>
      </c>
      <c r="B17" s="78">
        <f>'11.F&amp;V Crop Production details'!B84</f>
        <v>0</v>
      </c>
      <c r="C17" s="78">
        <f>'11.F&amp;V Crop Production details'!C84</f>
        <v>0</v>
      </c>
      <c r="D17" s="78">
        <f>'11.F&amp;V Crop Production details'!D84</f>
        <v>0</v>
      </c>
      <c r="E17" s="78">
        <f>'11.F&amp;V Crop Production details'!E84</f>
        <v>0</v>
      </c>
      <c r="F17" s="78">
        <f>'11.F&amp;V Crop Production details'!F84</f>
        <v>0</v>
      </c>
      <c r="G17" s="78">
        <f>'11.F&amp;V Crop Production details'!G84</f>
        <v>0</v>
      </c>
      <c r="H17" s="78">
        <f>'11.F&amp;V Crop Production details'!H84</f>
        <v>0</v>
      </c>
    </row>
    <row r="18" spans="1:8" ht="15.75" customHeight="1">
      <c r="A18" s="78" t="str">
        <f>'11.F&amp;V Crop Production details'!A85</f>
        <v>Okra</v>
      </c>
      <c r="B18" s="78">
        <f>'11.F&amp;V Crop Production details'!B85</f>
        <v>0</v>
      </c>
      <c r="C18" s="78">
        <f>'11.F&amp;V Crop Production details'!C85</f>
        <v>0</v>
      </c>
      <c r="D18" s="78">
        <f>'11.F&amp;V Crop Production details'!D85</f>
        <v>0</v>
      </c>
      <c r="E18" s="78">
        <f>'11.F&amp;V Crop Production details'!E85</f>
        <v>0</v>
      </c>
      <c r="F18" s="78">
        <f>'11.F&amp;V Crop Production details'!F85</f>
        <v>0</v>
      </c>
      <c r="G18" s="78">
        <f>'11.F&amp;V Crop Production details'!G85</f>
        <v>0</v>
      </c>
      <c r="H18" s="78">
        <f>'11.F&amp;V Crop Production details'!H85</f>
        <v>0</v>
      </c>
    </row>
    <row r="19" spans="1:8" ht="15.75" customHeight="1">
      <c r="A19" s="78" t="str">
        <f>'11.F&amp;V Crop Production details'!A86</f>
        <v>Chilli</v>
      </c>
      <c r="B19" s="78">
        <f>'11.F&amp;V Crop Production details'!B86</f>
        <v>0</v>
      </c>
      <c r="C19" s="78">
        <f>'11.F&amp;V Crop Production details'!C86</f>
        <v>0</v>
      </c>
      <c r="D19" s="78">
        <f>'11.F&amp;V Crop Production details'!D86</f>
        <v>0</v>
      </c>
      <c r="E19" s="78">
        <f>'11.F&amp;V Crop Production details'!E86</f>
        <v>0</v>
      </c>
      <c r="F19" s="78">
        <f>'11.F&amp;V Crop Production details'!F86</f>
        <v>0</v>
      </c>
      <c r="G19" s="78">
        <f>'11.F&amp;V Crop Production details'!G86</f>
        <v>0</v>
      </c>
      <c r="H19" s="78">
        <f>'11.F&amp;V Crop Production details'!H86</f>
        <v>0</v>
      </c>
    </row>
    <row r="20" spans="1:8" ht="15.75" customHeight="1">
      <c r="A20" s="78" t="str">
        <f>'11.F&amp;V Crop Production details'!A87</f>
        <v>Brinjal</v>
      </c>
      <c r="B20" s="78">
        <f>'11.F&amp;V Crop Production details'!B87</f>
        <v>0</v>
      </c>
      <c r="C20" s="78">
        <f>'11.F&amp;V Crop Production details'!C87</f>
        <v>0</v>
      </c>
      <c r="D20" s="78">
        <f>'11.F&amp;V Crop Production details'!D87</f>
        <v>0</v>
      </c>
      <c r="E20" s="78">
        <f>'11.F&amp;V Crop Production details'!E87</f>
        <v>0</v>
      </c>
      <c r="F20" s="78">
        <f>'11.F&amp;V Crop Production details'!F87</f>
        <v>0</v>
      </c>
      <c r="G20" s="78">
        <f>'11.F&amp;V Crop Production details'!G87</f>
        <v>0</v>
      </c>
      <c r="H20" s="78">
        <f>'11.F&amp;V Crop Production details'!H87</f>
        <v>0</v>
      </c>
    </row>
    <row r="21" spans="1:8" ht="15.75" customHeight="1">
      <c r="A21" s="78">
        <f>'11.F&amp;V Crop Production details'!A88</f>
        <v>0</v>
      </c>
      <c r="B21" s="78">
        <f>'11.F&amp;V Crop Production details'!B88</f>
        <v>0</v>
      </c>
      <c r="C21" s="78">
        <f>'11.F&amp;V Crop Production details'!C88</f>
        <v>0</v>
      </c>
      <c r="D21" s="78">
        <f>'11.F&amp;V Crop Production details'!D88</f>
        <v>0</v>
      </c>
      <c r="E21" s="78">
        <f>'11.F&amp;V Crop Production details'!E88</f>
        <v>0</v>
      </c>
      <c r="F21" s="78">
        <f>'11.F&amp;V Crop Production details'!F88</f>
        <v>0</v>
      </c>
      <c r="G21" s="78">
        <f>'11.F&amp;V Crop Production details'!G88</f>
        <v>0</v>
      </c>
      <c r="H21" s="78">
        <f>'11.F&amp;V Crop Production details'!H88</f>
        <v>0</v>
      </c>
    </row>
    <row r="22" spans="1:8" ht="15.75" customHeight="1">
      <c r="A22" s="78">
        <f>'11.F&amp;V Crop Production details'!A89</f>
        <v>0</v>
      </c>
      <c r="B22" s="78">
        <f>'11.F&amp;V Crop Production details'!B89</f>
        <v>0</v>
      </c>
      <c r="C22" s="78">
        <f>'11.F&amp;V Crop Production details'!C89</f>
        <v>0</v>
      </c>
      <c r="D22" s="78">
        <f>'11.F&amp;V Crop Production details'!D89</f>
        <v>0</v>
      </c>
      <c r="E22" s="78">
        <f>'11.F&amp;V Crop Production details'!E89</f>
        <v>0</v>
      </c>
      <c r="F22" s="78">
        <f>'11.F&amp;V Crop Production details'!F89</f>
        <v>0</v>
      </c>
      <c r="G22" s="78">
        <f>'11.F&amp;V Crop Production details'!G89</f>
        <v>0</v>
      </c>
      <c r="H22" s="78">
        <f>'11.F&amp;V Crop Production details'!H89</f>
        <v>0</v>
      </c>
    </row>
    <row r="23" spans="1:8" ht="15.75" customHeight="1">
      <c r="A23" s="78">
        <f>'11.F&amp;V Crop Production details'!A90</f>
        <v>0</v>
      </c>
      <c r="B23" s="78">
        <f>'11.F&amp;V Crop Production details'!B90</f>
        <v>0</v>
      </c>
      <c r="C23" s="78">
        <f>'11.F&amp;V Crop Production details'!C90</f>
        <v>0</v>
      </c>
      <c r="D23" s="78">
        <f>'11.F&amp;V Crop Production details'!D90</f>
        <v>0</v>
      </c>
      <c r="E23" s="78">
        <f>'11.F&amp;V Crop Production details'!E90</f>
        <v>0</v>
      </c>
      <c r="F23" s="78">
        <f>'11.F&amp;V Crop Production details'!F90</f>
        <v>0</v>
      </c>
      <c r="G23" s="78">
        <f>'11.F&amp;V Crop Production details'!G90</f>
        <v>0</v>
      </c>
      <c r="H23" s="78">
        <f>'11.F&amp;V Crop Production details'!H90</f>
        <v>0</v>
      </c>
    </row>
    <row r="24" spans="1:8" ht="15.75" customHeight="1">
      <c r="A24" s="78">
        <f>'11.F&amp;V Crop Production details'!A91</f>
        <v>0</v>
      </c>
      <c r="B24" s="78">
        <f>'11.F&amp;V Crop Production details'!B91</f>
        <v>0</v>
      </c>
      <c r="C24" s="78">
        <f>'11.F&amp;V Crop Production details'!C91</f>
        <v>0</v>
      </c>
      <c r="D24" s="78">
        <f>'11.F&amp;V Crop Production details'!D91</f>
        <v>0</v>
      </c>
      <c r="E24" s="78">
        <f>'11.F&amp;V Crop Production details'!E91</f>
        <v>0</v>
      </c>
      <c r="F24" s="78">
        <f>'11.F&amp;V Crop Production details'!F91</f>
        <v>0</v>
      </c>
      <c r="G24" s="78">
        <f>'11.F&amp;V Crop Production details'!G91</f>
        <v>0</v>
      </c>
      <c r="H24" s="78">
        <f>'11.F&amp;V Crop Production details'!H91</f>
        <v>0</v>
      </c>
    </row>
    <row r="25" spans="1:8" ht="15.75" customHeight="1">
      <c r="A25" s="78">
        <f>'11.F&amp;V Crop Production details'!A92</f>
        <v>0</v>
      </c>
      <c r="B25" s="78">
        <f>'11.F&amp;V Crop Production details'!B92</f>
        <v>0</v>
      </c>
      <c r="C25" s="78">
        <f>'11.F&amp;V Crop Production details'!C92</f>
        <v>0</v>
      </c>
      <c r="D25" s="78">
        <f>'11.F&amp;V Crop Production details'!D92</f>
        <v>0</v>
      </c>
      <c r="E25" s="78">
        <f>'11.F&amp;V Crop Production details'!E92</f>
        <v>0</v>
      </c>
      <c r="F25" s="78">
        <f>'11.F&amp;V Crop Production details'!F92</f>
        <v>0</v>
      </c>
      <c r="G25" s="78">
        <f>'11.F&amp;V Crop Production details'!G92</f>
        <v>0</v>
      </c>
      <c r="H25" s="78">
        <f>'11.F&amp;V Crop Production details'!H92</f>
        <v>0</v>
      </c>
    </row>
    <row r="26" spans="1:8" ht="15.75" customHeight="1">
      <c r="A26" s="78">
        <f>'11.F&amp;V Crop Production details'!A93</f>
        <v>0</v>
      </c>
      <c r="B26" s="78">
        <f>'11.F&amp;V Crop Production details'!B93</f>
        <v>0</v>
      </c>
      <c r="C26" s="78">
        <f>'11.F&amp;V Crop Production details'!C93</f>
        <v>0</v>
      </c>
      <c r="D26" s="78">
        <f>'11.F&amp;V Crop Production details'!D93</f>
        <v>0</v>
      </c>
      <c r="E26" s="78">
        <f>'11.F&amp;V Crop Production details'!E93</f>
        <v>0</v>
      </c>
      <c r="F26" s="78">
        <f>'11.F&amp;V Crop Production details'!F93</f>
        <v>0</v>
      </c>
      <c r="G26" s="78">
        <f>'11.F&amp;V Crop Production details'!G93</f>
        <v>0</v>
      </c>
      <c r="H26" s="78">
        <f>'11.F&amp;V Crop Production details'!H93</f>
        <v>0</v>
      </c>
    </row>
    <row r="27" spans="1:8" ht="15.75" customHeight="1">
      <c r="A27" s="78">
        <f>'11.F&amp;V Crop Production details'!A94</f>
        <v>0</v>
      </c>
      <c r="B27" s="78">
        <f>'11.F&amp;V Crop Production details'!B94</f>
        <v>0</v>
      </c>
      <c r="C27" s="78">
        <f>'11.F&amp;V Crop Production details'!C94</f>
        <v>0</v>
      </c>
      <c r="D27" s="78">
        <f>'11.F&amp;V Crop Production details'!D94</f>
        <v>0</v>
      </c>
      <c r="E27" s="78">
        <f>'11.F&amp;V Crop Production details'!E94</f>
        <v>0</v>
      </c>
      <c r="F27" s="78">
        <f>'11.F&amp;V Crop Production details'!F94</f>
        <v>0</v>
      </c>
      <c r="G27" s="78">
        <f>'11.F&amp;V Crop Production details'!G94</f>
        <v>0</v>
      </c>
      <c r="H27" s="78">
        <f>'11.F&amp;V Crop Production details'!H94</f>
        <v>0</v>
      </c>
    </row>
    <row r="28" spans="1:8" ht="15.75" customHeight="1">
      <c r="A28" s="78" t="str">
        <f>'11.F&amp;V Crop Production details'!A95</f>
        <v>Pomegranate</v>
      </c>
      <c r="B28" s="78">
        <f>'11.F&amp;V Crop Production details'!B95</f>
        <v>0</v>
      </c>
      <c r="C28" s="78">
        <f>'11.F&amp;V Crop Production details'!C95</f>
        <v>0</v>
      </c>
      <c r="D28" s="78">
        <f>'11.F&amp;V Crop Production details'!D95</f>
        <v>0</v>
      </c>
      <c r="E28" s="78">
        <f>'11.F&amp;V Crop Production details'!E95</f>
        <v>0</v>
      </c>
      <c r="F28" s="78">
        <f>'11.F&amp;V Crop Production details'!F95</f>
        <v>0</v>
      </c>
      <c r="G28" s="78">
        <f>'11.F&amp;V Crop Production details'!G95</f>
        <v>0</v>
      </c>
      <c r="H28" s="78">
        <f>'11.F&amp;V Crop Production details'!H95</f>
        <v>0</v>
      </c>
    </row>
    <row r="29" spans="1:8" ht="15.75" customHeight="1">
      <c r="A29" s="78" t="str">
        <f>'11.F&amp;V Crop Production details'!A96</f>
        <v>Custard Apple</v>
      </c>
      <c r="B29" s="78">
        <f>'11.F&amp;V Crop Production details'!B96</f>
        <v>0</v>
      </c>
      <c r="C29" s="78">
        <f>'11.F&amp;V Crop Production details'!C96</f>
        <v>0</v>
      </c>
      <c r="D29" s="78">
        <f>'11.F&amp;V Crop Production details'!D96</f>
        <v>0</v>
      </c>
      <c r="E29" s="78">
        <f>'11.F&amp;V Crop Production details'!E96</f>
        <v>0</v>
      </c>
      <c r="F29" s="78">
        <f>'11.F&amp;V Crop Production details'!F96</f>
        <v>0</v>
      </c>
      <c r="G29" s="78">
        <f>'11.F&amp;V Crop Production details'!G96</f>
        <v>0</v>
      </c>
      <c r="H29" s="78">
        <f>'11.F&amp;V Crop Production details'!H96</f>
        <v>0</v>
      </c>
    </row>
    <row r="30" spans="1:8" ht="15.75" customHeight="1">
      <c r="A30" s="78" t="str">
        <f>'11.F&amp;V Crop Production details'!A97</f>
        <v>Guava</v>
      </c>
      <c r="B30" s="78">
        <f>'11.F&amp;V Crop Production details'!B97</f>
        <v>0</v>
      </c>
      <c r="C30" s="78">
        <f>'11.F&amp;V Crop Production details'!C97</f>
        <v>0</v>
      </c>
      <c r="D30" s="78">
        <f>'11.F&amp;V Crop Production details'!D97</f>
        <v>0</v>
      </c>
      <c r="E30" s="78">
        <f>'11.F&amp;V Crop Production details'!E97</f>
        <v>0</v>
      </c>
      <c r="F30" s="78">
        <f>'11.F&amp;V Crop Production details'!F97</f>
        <v>0</v>
      </c>
      <c r="G30" s="78">
        <f>'11.F&amp;V Crop Production details'!G97</f>
        <v>0</v>
      </c>
      <c r="H30" s="78">
        <f>'11.F&amp;V Crop Production details'!H97</f>
        <v>0</v>
      </c>
    </row>
    <row r="31" spans="1:8" ht="15.75" customHeight="1">
      <c r="A31" s="78" t="str">
        <f>'11.F&amp;V Crop Production details'!A98</f>
        <v>Citrus</v>
      </c>
      <c r="B31" s="78">
        <f>'11.F&amp;V Crop Production details'!B98</f>
        <v>0</v>
      </c>
      <c r="C31" s="78">
        <f>'11.F&amp;V Crop Production details'!C98</f>
        <v>0</v>
      </c>
      <c r="D31" s="78">
        <f>'11.F&amp;V Crop Production details'!D98</f>
        <v>0</v>
      </c>
      <c r="E31" s="78">
        <f>'11.F&amp;V Crop Production details'!E98</f>
        <v>0</v>
      </c>
      <c r="F31" s="78">
        <f>'11.F&amp;V Crop Production details'!F98</f>
        <v>0</v>
      </c>
      <c r="G31" s="78">
        <f>'11.F&amp;V Crop Production details'!G98</f>
        <v>0</v>
      </c>
      <c r="H31" s="78">
        <f>'11.F&amp;V Crop Production details'!H98</f>
        <v>0</v>
      </c>
    </row>
    <row r="32" spans="1:8" ht="15.75" customHeight="1">
      <c r="A32" s="78"/>
      <c r="B32" s="78"/>
      <c r="C32" s="78"/>
      <c r="D32" s="78"/>
      <c r="E32" s="78"/>
      <c r="F32" s="78"/>
      <c r="G32" s="78"/>
      <c r="H32" s="78"/>
    </row>
    <row r="33" spans="1:8" ht="15.75" customHeight="1">
      <c r="A33" s="78" t="s">
        <v>591</v>
      </c>
      <c r="B33" s="78">
        <f t="shared" ref="B33:H33" si="1">SUM(B7:B31)</f>
        <v>0</v>
      </c>
      <c r="C33" s="78">
        <f t="shared" si="1"/>
        <v>0</v>
      </c>
      <c r="D33" s="78">
        <f t="shared" si="1"/>
        <v>0</v>
      </c>
      <c r="E33" s="78">
        <f t="shared" si="1"/>
        <v>0</v>
      </c>
      <c r="F33" s="78">
        <f t="shared" si="1"/>
        <v>0</v>
      </c>
      <c r="G33" s="78">
        <f t="shared" si="1"/>
        <v>0</v>
      </c>
      <c r="H33" s="78">
        <f t="shared" si="1"/>
        <v>0</v>
      </c>
    </row>
    <row r="34" spans="1:8" ht="15.75" customHeight="1">
      <c r="A34" s="276" t="s">
        <v>568</v>
      </c>
      <c r="B34" s="140">
        <v>0</v>
      </c>
      <c r="C34" s="140">
        <f t="shared" ref="C34:H34" si="2">B34</f>
        <v>0</v>
      </c>
      <c r="D34" s="140">
        <f t="shared" si="2"/>
        <v>0</v>
      </c>
      <c r="E34" s="140">
        <f t="shared" si="2"/>
        <v>0</v>
      </c>
      <c r="F34" s="140">
        <f t="shared" si="2"/>
        <v>0</v>
      </c>
      <c r="G34" s="140">
        <f t="shared" si="2"/>
        <v>0</v>
      </c>
      <c r="H34" s="140">
        <f t="shared" si="2"/>
        <v>0</v>
      </c>
    </row>
    <row r="35" spans="1:8" ht="26.25" customHeight="1">
      <c r="A35" s="196" t="s">
        <v>592</v>
      </c>
      <c r="B35" s="132">
        <f t="shared" ref="B35:H35" si="3">1-B34</f>
        <v>1</v>
      </c>
      <c r="C35" s="132">
        <f t="shared" si="3"/>
        <v>1</v>
      </c>
      <c r="D35" s="132">
        <f t="shared" si="3"/>
        <v>1</v>
      </c>
      <c r="E35" s="132">
        <f t="shared" si="3"/>
        <v>1</v>
      </c>
      <c r="F35" s="132">
        <f t="shared" si="3"/>
        <v>1</v>
      </c>
      <c r="G35" s="132">
        <f t="shared" si="3"/>
        <v>1</v>
      </c>
      <c r="H35" s="132">
        <f t="shared" si="3"/>
        <v>1</v>
      </c>
    </row>
    <row r="36" spans="1:8" ht="15.75" customHeight="1">
      <c r="A36" s="81" t="s">
        <v>568</v>
      </c>
      <c r="B36" s="272">
        <f t="shared" ref="B36:H36" si="4">B33*B34</f>
        <v>0</v>
      </c>
      <c r="C36" s="272">
        <f t="shared" si="4"/>
        <v>0</v>
      </c>
      <c r="D36" s="272">
        <f t="shared" si="4"/>
        <v>0</v>
      </c>
      <c r="E36" s="272">
        <f t="shared" si="4"/>
        <v>0</v>
      </c>
      <c r="F36" s="272">
        <f t="shared" si="4"/>
        <v>0</v>
      </c>
      <c r="G36" s="272">
        <f t="shared" si="4"/>
        <v>0</v>
      </c>
      <c r="H36" s="272">
        <f t="shared" si="4"/>
        <v>0</v>
      </c>
    </row>
    <row r="37" spans="1:8" ht="15.75" customHeight="1">
      <c r="A37" s="81" t="s">
        <v>569</v>
      </c>
      <c r="B37" s="82"/>
      <c r="C37" s="82"/>
      <c r="D37" s="82"/>
      <c r="E37" s="82"/>
      <c r="F37" s="82"/>
      <c r="G37" s="82"/>
      <c r="H37" s="82"/>
    </row>
    <row r="38" spans="1:8" ht="15.75" customHeight="1">
      <c r="A38" s="78" t="str">
        <f t="shared" ref="A38:A55" si="5">A7</f>
        <v>Onion</v>
      </c>
      <c r="B38" s="80">
        <f t="shared" ref="B38:B55" si="6">B7*$B$35</f>
        <v>0</v>
      </c>
      <c r="C38" s="80">
        <f t="shared" ref="C38:C55" si="7">C7*$C$35</f>
        <v>0</v>
      </c>
      <c r="D38" s="80">
        <f t="shared" ref="D38:D55" si="8">D7*$D$35</f>
        <v>0</v>
      </c>
      <c r="E38" s="80">
        <f t="shared" ref="E38:E55" si="9">E7*$E$35</f>
        <v>0</v>
      </c>
      <c r="F38" s="80">
        <f t="shared" ref="F38:F55" si="10">F7*$F$35</f>
        <v>0</v>
      </c>
      <c r="G38" s="80">
        <f t="shared" ref="G38:G55" si="11">G7*$G$35</f>
        <v>0</v>
      </c>
      <c r="H38" s="80">
        <f t="shared" ref="H38:H55" si="12">H7*$H$35</f>
        <v>0</v>
      </c>
    </row>
    <row r="39" spans="1:8" ht="15.75" customHeight="1">
      <c r="A39" s="78" t="str">
        <f t="shared" si="5"/>
        <v>Tomato</v>
      </c>
      <c r="B39" s="80">
        <f t="shared" si="6"/>
        <v>0</v>
      </c>
      <c r="C39" s="80">
        <f t="shared" si="7"/>
        <v>0</v>
      </c>
      <c r="D39" s="80">
        <f t="shared" si="8"/>
        <v>0</v>
      </c>
      <c r="E39" s="80">
        <f t="shared" si="9"/>
        <v>0</v>
      </c>
      <c r="F39" s="80">
        <f t="shared" si="10"/>
        <v>0</v>
      </c>
      <c r="G39" s="80">
        <f t="shared" si="11"/>
        <v>0</v>
      </c>
      <c r="H39" s="80">
        <f t="shared" si="12"/>
        <v>0</v>
      </c>
    </row>
    <row r="40" spans="1:8" ht="15.75" customHeight="1">
      <c r="A40" s="78" t="str">
        <f t="shared" si="5"/>
        <v>Okra</v>
      </c>
      <c r="B40" s="80">
        <f t="shared" si="6"/>
        <v>0</v>
      </c>
      <c r="C40" s="80">
        <f t="shared" si="7"/>
        <v>0</v>
      </c>
      <c r="D40" s="80">
        <f t="shared" si="8"/>
        <v>0</v>
      </c>
      <c r="E40" s="80">
        <f t="shared" si="9"/>
        <v>0</v>
      </c>
      <c r="F40" s="80">
        <f t="shared" si="10"/>
        <v>0</v>
      </c>
      <c r="G40" s="80">
        <f t="shared" si="11"/>
        <v>0</v>
      </c>
      <c r="H40" s="80">
        <f t="shared" si="12"/>
        <v>0</v>
      </c>
    </row>
    <row r="41" spans="1:8" ht="15.75" customHeight="1">
      <c r="A41" s="78" t="str">
        <f t="shared" si="5"/>
        <v>Chilli</v>
      </c>
      <c r="B41" s="80">
        <f t="shared" si="6"/>
        <v>0</v>
      </c>
      <c r="C41" s="80">
        <f t="shared" si="7"/>
        <v>0</v>
      </c>
      <c r="D41" s="80">
        <f t="shared" si="8"/>
        <v>0</v>
      </c>
      <c r="E41" s="80">
        <f t="shared" si="9"/>
        <v>0</v>
      </c>
      <c r="F41" s="80">
        <f t="shared" si="10"/>
        <v>0</v>
      </c>
      <c r="G41" s="80">
        <f t="shared" si="11"/>
        <v>0</v>
      </c>
      <c r="H41" s="80">
        <f t="shared" si="12"/>
        <v>0</v>
      </c>
    </row>
    <row r="42" spans="1:8" ht="15.75" customHeight="1">
      <c r="A42" s="78" t="str">
        <f t="shared" si="5"/>
        <v>Potato</v>
      </c>
      <c r="B42" s="80">
        <f t="shared" si="6"/>
        <v>0</v>
      </c>
      <c r="C42" s="80">
        <f t="shared" si="7"/>
        <v>0</v>
      </c>
      <c r="D42" s="80">
        <f t="shared" si="8"/>
        <v>0</v>
      </c>
      <c r="E42" s="80">
        <f t="shared" si="9"/>
        <v>0</v>
      </c>
      <c r="F42" s="80">
        <f t="shared" si="10"/>
        <v>0</v>
      </c>
      <c r="G42" s="80">
        <f t="shared" si="11"/>
        <v>0</v>
      </c>
      <c r="H42" s="80">
        <f t="shared" si="12"/>
        <v>0</v>
      </c>
    </row>
    <row r="43" spans="1:8" ht="15.75" customHeight="1">
      <c r="A43" s="78">
        <f t="shared" si="5"/>
        <v>0</v>
      </c>
      <c r="B43" s="80">
        <f t="shared" si="6"/>
        <v>0</v>
      </c>
      <c r="C43" s="80">
        <f t="shared" si="7"/>
        <v>0</v>
      </c>
      <c r="D43" s="80">
        <f t="shared" si="8"/>
        <v>0</v>
      </c>
      <c r="E43" s="80">
        <f t="shared" si="9"/>
        <v>0</v>
      </c>
      <c r="F43" s="80">
        <f t="shared" si="10"/>
        <v>0</v>
      </c>
      <c r="G43" s="80">
        <f t="shared" si="11"/>
        <v>0</v>
      </c>
      <c r="H43" s="80">
        <f t="shared" si="12"/>
        <v>0</v>
      </c>
    </row>
    <row r="44" spans="1:8" ht="15.75" customHeight="1">
      <c r="A44" s="78">
        <f t="shared" si="5"/>
        <v>0</v>
      </c>
      <c r="B44" s="80">
        <f t="shared" si="6"/>
        <v>0</v>
      </c>
      <c r="C44" s="80">
        <f t="shared" si="7"/>
        <v>0</v>
      </c>
      <c r="D44" s="80">
        <f t="shared" si="8"/>
        <v>0</v>
      </c>
      <c r="E44" s="80">
        <f t="shared" si="9"/>
        <v>0</v>
      </c>
      <c r="F44" s="80">
        <f t="shared" si="10"/>
        <v>0</v>
      </c>
      <c r="G44" s="80">
        <f t="shared" si="11"/>
        <v>0</v>
      </c>
      <c r="H44" s="80">
        <f t="shared" si="12"/>
        <v>0</v>
      </c>
    </row>
    <row r="45" spans="1:8" ht="15.75" customHeight="1">
      <c r="A45" s="78">
        <f t="shared" si="5"/>
        <v>0</v>
      </c>
      <c r="B45" s="80">
        <f t="shared" si="6"/>
        <v>0</v>
      </c>
      <c r="C45" s="80">
        <f t="shared" si="7"/>
        <v>0</v>
      </c>
      <c r="D45" s="80">
        <f t="shared" si="8"/>
        <v>0</v>
      </c>
      <c r="E45" s="80">
        <f t="shared" si="9"/>
        <v>0</v>
      </c>
      <c r="F45" s="80">
        <f t="shared" si="10"/>
        <v>0</v>
      </c>
      <c r="G45" s="80">
        <f t="shared" si="11"/>
        <v>0</v>
      </c>
      <c r="H45" s="80">
        <f t="shared" si="12"/>
        <v>0</v>
      </c>
    </row>
    <row r="46" spans="1:8" ht="15.75" customHeight="1">
      <c r="A46" s="78">
        <f t="shared" si="5"/>
        <v>0</v>
      </c>
      <c r="B46" s="80">
        <f t="shared" si="6"/>
        <v>0</v>
      </c>
      <c r="C46" s="80">
        <f t="shared" si="7"/>
        <v>0</v>
      </c>
      <c r="D46" s="80">
        <f t="shared" si="8"/>
        <v>0</v>
      </c>
      <c r="E46" s="80">
        <f t="shared" si="9"/>
        <v>0</v>
      </c>
      <c r="F46" s="80">
        <f t="shared" si="10"/>
        <v>0</v>
      </c>
      <c r="G46" s="80">
        <f t="shared" si="11"/>
        <v>0</v>
      </c>
      <c r="H46" s="80">
        <f t="shared" si="12"/>
        <v>0</v>
      </c>
    </row>
    <row r="47" spans="1:8" ht="15.75" customHeight="1">
      <c r="A47" s="78" t="str">
        <f t="shared" si="5"/>
        <v>Onion</v>
      </c>
      <c r="B47" s="80">
        <f t="shared" si="6"/>
        <v>0</v>
      </c>
      <c r="C47" s="80">
        <f t="shared" si="7"/>
        <v>0</v>
      </c>
      <c r="D47" s="80">
        <f t="shared" si="8"/>
        <v>0</v>
      </c>
      <c r="E47" s="80">
        <f t="shared" si="9"/>
        <v>0</v>
      </c>
      <c r="F47" s="80">
        <f t="shared" si="10"/>
        <v>0</v>
      </c>
      <c r="G47" s="80">
        <f t="shared" si="11"/>
        <v>0</v>
      </c>
      <c r="H47" s="80">
        <f t="shared" si="12"/>
        <v>0</v>
      </c>
    </row>
    <row r="48" spans="1:8" ht="15.75" customHeight="1">
      <c r="A48" s="78" t="str">
        <f t="shared" si="5"/>
        <v>Tomato</v>
      </c>
      <c r="B48" s="80">
        <f t="shared" si="6"/>
        <v>0</v>
      </c>
      <c r="C48" s="80">
        <f t="shared" si="7"/>
        <v>0</v>
      </c>
      <c r="D48" s="80">
        <f t="shared" si="8"/>
        <v>0</v>
      </c>
      <c r="E48" s="80">
        <f t="shared" si="9"/>
        <v>0</v>
      </c>
      <c r="F48" s="80">
        <f t="shared" si="10"/>
        <v>0</v>
      </c>
      <c r="G48" s="80">
        <f t="shared" si="11"/>
        <v>0</v>
      </c>
      <c r="H48" s="80">
        <f t="shared" si="12"/>
        <v>0</v>
      </c>
    </row>
    <row r="49" spans="1:8" ht="15.75" customHeight="1">
      <c r="A49" s="78" t="str">
        <f t="shared" si="5"/>
        <v>Okra</v>
      </c>
      <c r="B49" s="80">
        <f t="shared" si="6"/>
        <v>0</v>
      </c>
      <c r="C49" s="80">
        <f t="shared" si="7"/>
        <v>0</v>
      </c>
      <c r="D49" s="80">
        <f t="shared" si="8"/>
        <v>0</v>
      </c>
      <c r="E49" s="80">
        <f t="shared" si="9"/>
        <v>0</v>
      </c>
      <c r="F49" s="80">
        <f t="shared" si="10"/>
        <v>0</v>
      </c>
      <c r="G49" s="80">
        <f t="shared" si="11"/>
        <v>0</v>
      </c>
      <c r="H49" s="80">
        <f t="shared" si="12"/>
        <v>0</v>
      </c>
    </row>
    <row r="50" spans="1:8" ht="15.75" customHeight="1">
      <c r="A50" s="78" t="str">
        <f t="shared" si="5"/>
        <v>Chilli</v>
      </c>
      <c r="B50" s="80">
        <f t="shared" si="6"/>
        <v>0</v>
      </c>
      <c r="C50" s="80">
        <f t="shared" si="7"/>
        <v>0</v>
      </c>
      <c r="D50" s="80">
        <f t="shared" si="8"/>
        <v>0</v>
      </c>
      <c r="E50" s="80">
        <f t="shared" si="9"/>
        <v>0</v>
      </c>
      <c r="F50" s="80">
        <f t="shared" si="10"/>
        <v>0</v>
      </c>
      <c r="G50" s="80">
        <f t="shared" si="11"/>
        <v>0</v>
      </c>
      <c r="H50" s="80">
        <f t="shared" si="12"/>
        <v>0</v>
      </c>
    </row>
    <row r="51" spans="1:8" ht="15.75" customHeight="1">
      <c r="A51" s="78" t="str">
        <f t="shared" si="5"/>
        <v>Brinjal</v>
      </c>
      <c r="B51" s="80">
        <f t="shared" si="6"/>
        <v>0</v>
      </c>
      <c r="C51" s="80">
        <f t="shared" si="7"/>
        <v>0</v>
      </c>
      <c r="D51" s="80">
        <f t="shared" si="8"/>
        <v>0</v>
      </c>
      <c r="E51" s="80">
        <f t="shared" si="9"/>
        <v>0</v>
      </c>
      <c r="F51" s="80">
        <f t="shared" si="10"/>
        <v>0</v>
      </c>
      <c r="G51" s="80">
        <f t="shared" si="11"/>
        <v>0</v>
      </c>
      <c r="H51" s="80">
        <f t="shared" si="12"/>
        <v>0</v>
      </c>
    </row>
    <row r="52" spans="1:8" ht="15.75" customHeight="1">
      <c r="A52" s="78">
        <f t="shared" si="5"/>
        <v>0</v>
      </c>
      <c r="B52" s="80">
        <f t="shared" si="6"/>
        <v>0</v>
      </c>
      <c r="C52" s="80">
        <f t="shared" si="7"/>
        <v>0</v>
      </c>
      <c r="D52" s="80">
        <f t="shared" si="8"/>
        <v>0</v>
      </c>
      <c r="E52" s="80">
        <f t="shared" si="9"/>
        <v>0</v>
      </c>
      <c r="F52" s="80">
        <f t="shared" si="10"/>
        <v>0</v>
      </c>
      <c r="G52" s="80">
        <f t="shared" si="11"/>
        <v>0</v>
      </c>
      <c r="H52" s="80">
        <f t="shared" si="12"/>
        <v>0</v>
      </c>
    </row>
    <row r="53" spans="1:8" ht="15.75" customHeight="1">
      <c r="A53" s="78">
        <f t="shared" si="5"/>
        <v>0</v>
      </c>
      <c r="B53" s="80">
        <f t="shared" si="6"/>
        <v>0</v>
      </c>
      <c r="C53" s="80">
        <f t="shared" si="7"/>
        <v>0</v>
      </c>
      <c r="D53" s="80">
        <f t="shared" si="8"/>
        <v>0</v>
      </c>
      <c r="E53" s="80">
        <f t="shared" si="9"/>
        <v>0</v>
      </c>
      <c r="F53" s="80">
        <f t="shared" si="10"/>
        <v>0</v>
      </c>
      <c r="G53" s="80">
        <f t="shared" si="11"/>
        <v>0</v>
      </c>
      <c r="H53" s="80">
        <f t="shared" si="12"/>
        <v>0</v>
      </c>
    </row>
    <row r="54" spans="1:8" ht="15.75" customHeight="1">
      <c r="A54" s="78">
        <f t="shared" si="5"/>
        <v>0</v>
      </c>
      <c r="B54" s="80">
        <f t="shared" si="6"/>
        <v>0</v>
      </c>
      <c r="C54" s="80">
        <f t="shared" si="7"/>
        <v>0</v>
      </c>
      <c r="D54" s="80">
        <f t="shared" si="8"/>
        <v>0</v>
      </c>
      <c r="E54" s="80">
        <f t="shared" si="9"/>
        <v>0</v>
      </c>
      <c r="F54" s="80">
        <f t="shared" si="10"/>
        <v>0</v>
      </c>
      <c r="G54" s="80">
        <f t="shared" si="11"/>
        <v>0</v>
      </c>
      <c r="H54" s="80">
        <f t="shared" si="12"/>
        <v>0</v>
      </c>
    </row>
    <row r="55" spans="1:8" ht="15.75" customHeight="1">
      <c r="A55" s="78">
        <f t="shared" si="5"/>
        <v>0</v>
      </c>
      <c r="B55" s="80">
        <f t="shared" si="6"/>
        <v>0</v>
      </c>
      <c r="C55" s="80">
        <f t="shared" si="7"/>
        <v>0</v>
      </c>
      <c r="D55" s="80">
        <f t="shared" si="8"/>
        <v>0</v>
      </c>
      <c r="E55" s="80">
        <f t="shared" si="9"/>
        <v>0</v>
      </c>
      <c r="F55" s="80">
        <f t="shared" si="10"/>
        <v>0</v>
      </c>
      <c r="G55" s="80">
        <f t="shared" si="11"/>
        <v>0</v>
      </c>
      <c r="H55" s="80">
        <f t="shared" si="12"/>
        <v>0</v>
      </c>
    </row>
    <row r="56" spans="1:8" ht="15.75" customHeight="1">
      <c r="A56" s="78" t="str">
        <f t="shared" ref="A56:A59" si="13">A28</f>
        <v>Pomegranate</v>
      </c>
      <c r="B56" s="80">
        <f t="shared" ref="B56:H56" si="14">B28*$B$35</f>
        <v>0</v>
      </c>
      <c r="C56" s="80">
        <f t="shared" si="14"/>
        <v>0</v>
      </c>
      <c r="D56" s="80">
        <f t="shared" si="14"/>
        <v>0</v>
      </c>
      <c r="E56" s="80">
        <f t="shared" si="14"/>
        <v>0</v>
      </c>
      <c r="F56" s="80">
        <f t="shared" si="14"/>
        <v>0</v>
      </c>
      <c r="G56" s="80">
        <f t="shared" si="14"/>
        <v>0</v>
      </c>
      <c r="H56" s="80">
        <f t="shared" si="14"/>
        <v>0</v>
      </c>
    </row>
    <row r="57" spans="1:8" ht="15.75" customHeight="1">
      <c r="A57" s="78" t="str">
        <f t="shared" si="13"/>
        <v>Custard Apple</v>
      </c>
      <c r="B57" s="80">
        <f t="shared" ref="B57:H57" si="15">B29*$B$35</f>
        <v>0</v>
      </c>
      <c r="C57" s="80">
        <f t="shared" si="15"/>
        <v>0</v>
      </c>
      <c r="D57" s="80">
        <f t="shared" si="15"/>
        <v>0</v>
      </c>
      <c r="E57" s="80">
        <f t="shared" si="15"/>
        <v>0</v>
      </c>
      <c r="F57" s="80">
        <f t="shared" si="15"/>
        <v>0</v>
      </c>
      <c r="G57" s="80">
        <f t="shared" si="15"/>
        <v>0</v>
      </c>
      <c r="H57" s="80">
        <f t="shared" si="15"/>
        <v>0</v>
      </c>
    </row>
    <row r="58" spans="1:8" ht="15.75" customHeight="1">
      <c r="A58" s="78" t="str">
        <f t="shared" si="13"/>
        <v>Guava</v>
      </c>
      <c r="B58" s="80">
        <f t="shared" ref="B58:H58" si="16">B30*$B$35</f>
        <v>0</v>
      </c>
      <c r="C58" s="80">
        <f t="shared" si="16"/>
        <v>0</v>
      </c>
      <c r="D58" s="80">
        <f t="shared" si="16"/>
        <v>0</v>
      </c>
      <c r="E58" s="80">
        <f t="shared" si="16"/>
        <v>0</v>
      </c>
      <c r="F58" s="80">
        <f t="shared" si="16"/>
        <v>0</v>
      </c>
      <c r="G58" s="80">
        <f t="shared" si="16"/>
        <v>0</v>
      </c>
      <c r="H58" s="80">
        <f t="shared" si="16"/>
        <v>0</v>
      </c>
    </row>
    <row r="59" spans="1:8" ht="15.75" customHeight="1">
      <c r="A59" s="78" t="str">
        <f t="shared" si="13"/>
        <v>Citrus</v>
      </c>
      <c r="B59" s="80">
        <f t="shared" ref="B59:H59" si="17">B31*$B$35</f>
        <v>0</v>
      </c>
      <c r="C59" s="80">
        <f t="shared" si="17"/>
        <v>0</v>
      </c>
      <c r="D59" s="80">
        <f t="shared" si="17"/>
        <v>0</v>
      </c>
      <c r="E59" s="80">
        <f t="shared" si="17"/>
        <v>0</v>
      </c>
      <c r="F59" s="80">
        <f t="shared" si="17"/>
        <v>0</v>
      </c>
      <c r="G59" s="80">
        <f t="shared" si="17"/>
        <v>0</v>
      </c>
      <c r="H59" s="80">
        <f t="shared" si="17"/>
        <v>0</v>
      </c>
    </row>
    <row r="60" spans="1:8" ht="15.75" customHeight="1">
      <c r="A60" s="81" t="s">
        <v>593</v>
      </c>
      <c r="B60" s="78"/>
      <c r="C60" s="78"/>
      <c r="D60" s="78"/>
      <c r="E60" s="78"/>
      <c r="F60" s="78"/>
      <c r="G60" s="78"/>
      <c r="H60" s="78"/>
    </row>
    <row r="61" spans="1:8" ht="15.75" customHeight="1">
      <c r="A61" s="78" t="str">
        <f>A38</f>
        <v>Onion</v>
      </c>
      <c r="B61" s="239"/>
      <c r="C61" s="239"/>
      <c r="D61" s="239"/>
      <c r="E61" s="239"/>
      <c r="F61" s="239"/>
      <c r="G61" s="239"/>
      <c r="H61" s="239"/>
    </row>
    <row r="62" spans="1:8" ht="15.75" customHeight="1">
      <c r="A62" s="78"/>
      <c r="B62" s="239"/>
      <c r="C62" s="239"/>
      <c r="D62" s="239"/>
      <c r="E62" s="239"/>
      <c r="F62" s="239"/>
      <c r="G62" s="239"/>
      <c r="H62" s="239"/>
    </row>
    <row r="63" spans="1:8" ht="15.75" customHeight="1">
      <c r="A63" s="78"/>
      <c r="B63" s="239"/>
      <c r="C63" s="239"/>
      <c r="D63" s="239"/>
      <c r="E63" s="239"/>
      <c r="F63" s="239"/>
      <c r="G63" s="239"/>
      <c r="H63" s="239"/>
    </row>
    <row r="64" spans="1:8" ht="15.75" customHeight="1">
      <c r="A64" s="78"/>
      <c r="B64" s="239"/>
      <c r="C64" s="239"/>
      <c r="D64" s="239"/>
      <c r="E64" s="239"/>
      <c r="F64" s="239"/>
      <c r="G64" s="239"/>
      <c r="H64" s="239"/>
    </row>
    <row r="65" spans="1:8" ht="15.75" customHeight="1">
      <c r="A65" s="78" t="str">
        <f>A39</f>
        <v>Tomato</v>
      </c>
      <c r="B65" s="80"/>
      <c r="C65" s="80"/>
      <c r="D65" s="80"/>
      <c r="E65" s="80"/>
      <c r="F65" s="80"/>
      <c r="G65" s="80"/>
      <c r="H65" s="80"/>
    </row>
    <row r="66" spans="1:8" ht="15.75" customHeight="1">
      <c r="A66" s="78"/>
      <c r="B66" s="80"/>
      <c r="C66" s="80"/>
      <c r="D66" s="80"/>
      <c r="E66" s="80"/>
      <c r="F66" s="80"/>
      <c r="G66" s="80"/>
      <c r="H66" s="80"/>
    </row>
    <row r="67" spans="1:8" ht="15.75" customHeight="1">
      <c r="A67" s="78"/>
      <c r="B67" s="80"/>
      <c r="C67" s="80"/>
      <c r="D67" s="80"/>
      <c r="E67" s="80"/>
      <c r="F67" s="80"/>
      <c r="G67" s="80"/>
      <c r="H67" s="80"/>
    </row>
    <row r="68" spans="1:8" ht="15.75" customHeight="1">
      <c r="A68" s="78"/>
      <c r="B68" s="80"/>
      <c r="C68" s="80"/>
      <c r="D68" s="80"/>
      <c r="E68" s="80"/>
      <c r="F68" s="80"/>
      <c r="G68" s="80"/>
      <c r="H68" s="80"/>
    </row>
    <row r="69" spans="1:8" ht="15.75" customHeight="1">
      <c r="A69" s="78" t="str">
        <f>A40</f>
        <v>Okra</v>
      </c>
      <c r="B69" s="80"/>
      <c r="C69" s="80"/>
      <c r="D69" s="80"/>
      <c r="E69" s="80"/>
      <c r="F69" s="80"/>
      <c r="G69" s="80"/>
      <c r="H69" s="80"/>
    </row>
    <row r="70" spans="1:8" ht="15.75" customHeight="1">
      <c r="A70" s="78"/>
      <c r="B70" s="80"/>
      <c r="C70" s="80"/>
      <c r="D70" s="80"/>
      <c r="E70" s="80"/>
      <c r="F70" s="80"/>
      <c r="G70" s="80"/>
      <c r="H70" s="80"/>
    </row>
    <row r="71" spans="1:8" ht="15.75" customHeight="1">
      <c r="A71" s="78"/>
      <c r="B71" s="80"/>
      <c r="C71" s="80"/>
      <c r="D71" s="80"/>
      <c r="E71" s="80"/>
      <c r="F71" s="80"/>
      <c r="G71" s="80"/>
      <c r="H71" s="80"/>
    </row>
    <row r="72" spans="1:8" ht="15.75" customHeight="1">
      <c r="A72" s="78"/>
      <c r="B72" s="80"/>
      <c r="C72" s="80"/>
      <c r="D72" s="80"/>
      <c r="E72" s="80"/>
      <c r="F72" s="80"/>
      <c r="G72" s="80"/>
      <c r="H72" s="80"/>
    </row>
    <row r="73" spans="1:8" ht="15.75" customHeight="1">
      <c r="A73" s="78" t="str">
        <f>A41</f>
        <v>Chilli</v>
      </c>
      <c r="B73" s="80"/>
      <c r="C73" s="80"/>
      <c r="D73" s="80"/>
      <c r="E73" s="80"/>
      <c r="F73" s="80"/>
      <c r="G73" s="80"/>
      <c r="H73" s="80"/>
    </row>
    <row r="74" spans="1:8" ht="15.75" customHeight="1">
      <c r="A74" s="78"/>
      <c r="B74" s="80"/>
      <c r="C74" s="80"/>
      <c r="D74" s="80"/>
      <c r="E74" s="80"/>
      <c r="F74" s="80"/>
      <c r="G74" s="80"/>
      <c r="H74" s="80"/>
    </row>
    <row r="75" spans="1:8" ht="15.75" customHeight="1">
      <c r="A75" s="78"/>
      <c r="B75" s="80"/>
      <c r="C75" s="80"/>
      <c r="D75" s="80"/>
      <c r="E75" s="80"/>
      <c r="F75" s="80"/>
      <c r="G75" s="80"/>
      <c r="H75" s="80"/>
    </row>
    <row r="76" spans="1:8" ht="15.75" customHeight="1">
      <c r="A76" s="78"/>
      <c r="B76" s="80"/>
      <c r="C76" s="80"/>
      <c r="D76" s="80"/>
      <c r="E76" s="80"/>
      <c r="F76" s="80"/>
      <c r="G76" s="80"/>
      <c r="H76" s="80"/>
    </row>
    <row r="77" spans="1:8" ht="15.75" customHeight="1">
      <c r="A77" s="78" t="str">
        <f>A42</f>
        <v>Potato</v>
      </c>
      <c r="B77" s="80"/>
      <c r="C77" s="80"/>
      <c r="D77" s="80"/>
      <c r="E77" s="80"/>
      <c r="F77" s="80"/>
      <c r="G77" s="80"/>
      <c r="H77" s="80"/>
    </row>
    <row r="78" spans="1:8" ht="15.75" customHeight="1">
      <c r="A78" s="78"/>
      <c r="B78" s="80"/>
      <c r="C78" s="80"/>
      <c r="D78" s="80"/>
      <c r="E78" s="80"/>
      <c r="F78" s="80"/>
      <c r="G78" s="80"/>
      <c r="H78" s="80"/>
    </row>
    <row r="79" spans="1:8" ht="15.75" customHeight="1">
      <c r="A79" s="78"/>
      <c r="B79" s="80"/>
      <c r="C79" s="80"/>
      <c r="D79" s="80"/>
      <c r="E79" s="80"/>
      <c r="F79" s="80"/>
      <c r="G79" s="80"/>
      <c r="H79" s="80"/>
    </row>
    <row r="80" spans="1:8" ht="15.75" customHeight="1">
      <c r="A80" s="78"/>
      <c r="B80" s="80"/>
      <c r="C80" s="80"/>
      <c r="D80" s="80"/>
      <c r="E80" s="80"/>
      <c r="F80" s="80"/>
      <c r="G80" s="80"/>
      <c r="H80" s="80"/>
    </row>
    <row r="81" spans="1:8" ht="15.75" customHeight="1">
      <c r="A81" s="78">
        <f>A43</f>
        <v>0</v>
      </c>
      <c r="B81" s="80"/>
      <c r="C81" s="80"/>
      <c r="D81" s="80"/>
      <c r="E81" s="80"/>
      <c r="F81" s="80"/>
      <c r="G81" s="80"/>
      <c r="H81" s="80"/>
    </row>
    <row r="82" spans="1:8" ht="15.75" customHeight="1">
      <c r="A82" s="78"/>
      <c r="B82" s="80"/>
      <c r="C82" s="80"/>
      <c r="D82" s="80"/>
      <c r="E82" s="80"/>
      <c r="F82" s="80"/>
      <c r="G82" s="80"/>
      <c r="H82" s="80"/>
    </row>
    <row r="83" spans="1:8" ht="15.75" customHeight="1">
      <c r="A83" s="78"/>
      <c r="B83" s="80"/>
      <c r="C83" s="80"/>
      <c r="D83" s="80"/>
      <c r="E83" s="80"/>
      <c r="F83" s="80"/>
      <c r="G83" s="80"/>
      <c r="H83" s="80"/>
    </row>
    <row r="84" spans="1:8" ht="15.75" customHeight="1">
      <c r="A84" s="78"/>
      <c r="B84" s="80"/>
      <c r="C84" s="80"/>
      <c r="D84" s="80"/>
      <c r="E84" s="80"/>
      <c r="F84" s="80"/>
      <c r="G84" s="80"/>
      <c r="H84" s="80"/>
    </row>
    <row r="85" spans="1:8" ht="15.75" customHeight="1">
      <c r="A85" s="78">
        <f>A44</f>
        <v>0</v>
      </c>
      <c r="B85" s="80"/>
      <c r="C85" s="80"/>
      <c r="D85" s="80"/>
      <c r="E85" s="80"/>
      <c r="F85" s="80"/>
      <c r="G85" s="80"/>
      <c r="H85" s="80"/>
    </row>
    <row r="86" spans="1:8" ht="15.75" customHeight="1">
      <c r="A86" s="78"/>
      <c r="B86" s="80"/>
      <c r="C86" s="80"/>
      <c r="D86" s="80"/>
      <c r="E86" s="80"/>
      <c r="F86" s="80"/>
      <c r="G86" s="80"/>
      <c r="H86" s="80"/>
    </row>
    <row r="87" spans="1:8" ht="15.75" customHeight="1">
      <c r="A87" s="78"/>
      <c r="B87" s="80"/>
      <c r="C87" s="80"/>
      <c r="D87" s="80"/>
      <c r="E87" s="80"/>
      <c r="F87" s="80"/>
      <c r="G87" s="80"/>
      <c r="H87" s="80"/>
    </row>
    <row r="88" spans="1:8" ht="15.75" customHeight="1">
      <c r="A88" s="78">
        <f>A45</f>
        <v>0</v>
      </c>
      <c r="B88" s="80"/>
      <c r="C88" s="80"/>
      <c r="D88" s="80"/>
      <c r="E88" s="80"/>
      <c r="F88" s="80"/>
      <c r="G88" s="80"/>
      <c r="H88" s="80"/>
    </row>
    <row r="89" spans="1:8" ht="15.75" customHeight="1">
      <c r="A89" s="78"/>
      <c r="B89" s="80"/>
      <c r="C89" s="80"/>
      <c r="D89" s="80"/>
      <c r="E89" s="80"/>
      <c r="F89" s="80"/>
      <c r="G89" s="80"/>
      <c r="H89" s="80"/>
    </row>
    <row r="90" spans="1:8" ht="15.75" customHeight="1">
      <c r="A90" s="78"/>
      <c r="B90" s="80"/>
      <c r="C90" s="80"/>
      <c r="D90" s="80"/>
      <c r="E90" s="80"/>
      <c r="F90" s="80"/>
      <c r="G90" s="80"/>
      <c r="H90" s="80"/>
    </row>
    <row r="91" spans="1:8" ht="15.75" customHeight="1">
      <c r="A91" s="78"/>
      <c r="B91" s="80"/>
      <c r="C91" s="80"/>
      <c r="D91" s="80"/>
      <c r="E91" s="80"/>
      <c r="F91" s="80"/>
      <c r="G91" s="80"/>
      <c r="H91" s="80"/>
    </row>
    <row r="92" spans="1:8" ht="15.75" customHeight="1">
      <c r="A92" s="78">
        <f>A46</f>
        <v>0</v>
      </c>
      <c r="B92" s="80"/>
      <c r="C92" s="80"/>
      <c r="D92" s="80"/>
      <c r="E92" s="80"/>
      <c r="F92" s="80"/>
      <c r="G92" s="80"/>
      <c r="H92" s="80"/>
    </row>
    <row r="93" spans="1:8" ht="15.75" customHeight="1">
      <c r="A93" s="78"/>
      <c r="B93" s="80"/>
      <c r="C93" s="80"/>
      <c r="D93" s="80"/>
      <c r="E93" s="80"/>
      <c r="F93" s="80"/>
      <c r="G93" s="80"/>
      <c r="H93" s="80"/>
    </row>
    <row r="94" spans="1:8" ht="15.75" customHeight="1">
      <c r="A94" s="78"/>
      <c r="B94" s="80"/>
      <c r="C94" s="80"/>
      <c r="D94" s="80"/>
      <c r="E94" s="80"/>
      <c r="F94" s="80"/>
      <c r="G94" s="80"/>
      <c r="H94" s="80"/>
    </row>
    <row r="95" spans="1:8" ht="15.75" customHeight="1">
      <c r="A95" s="78"/>
      <c r="B95" s="80"/>
      <c r="C95" s="80"/>
      <c r="D95" s="80"/>
      <c r="E95" s="80"/>
      <c r="F95" s="80"/>
      <c r="G95" s="80"/>
      <c r="H95" s="80"/>
    </row>
    <row r="96" spans="1:8" ht="15.75" customHeight="1">
      <c r="A96" s="78" t="str">
        <f>A47</f>
        <v>Onion</v>
      </c>
      <c r="B96" s="80"/>
      <c r="C96" s="80"/>
      <c r="D96" s="80"/>
      <c r="E96" s="80"/>
      <c r="F96" s="80"/>
      <c r="G96" s="80"/>
      <c r="H96" s="80"/>
    </row>
    <row r="97" spans="1:8" ht="15.75" customHeight="1">
      <c r="A97" s="78"/>
      <c r="B97" s="80"/>
      <c r="C97" s="80"/>
      <c r="D97" s="80"/>
      <c r="E97" s="80"/>
      <c r="F97" s="80"/>
      <c r="G97" s="80"/>
      <c r="H97" s="80"/>
    </row>
    <row r="98" spans="1:8" ht="15.75" customHeight="1">
      <c r="A98" s="78"/>
      <c r="B98" s="80"/>
      <c r="C98" s="80"/>
      <c r="D98" s="80"/>
      <c r="E98" s="80"/>
      <c r="F98" s="80"/>
      <c r="G98" s="80"/>
      <c r="H98" s="80"/>
    </row>
    <row r="99" spans="1:8" ht="15.75" customHeight="1">
      <c r="A99" s="78"/>
      <c r="B99" s="80"/>
      <c r="C99" s="80"/>
      <c r="D99" s="80"/>
      <c r="E99" s="80"/>
      <c r="F99" s="80"/>
      <c r="G99" s="80"/>
      <c r="H99" s="80"/>
    </row>
    <row r="100" spans="1:8" ht="15.75" customHeight="1">
      <c r="A100" s="78" t="str">
        <f>A48</f>
        <v>Tomato</v>
      </c>
      <c r="B100" s="80"/>
      <c r="C100" s="80"/>
      <c r="D100" s="80"/>
      <c r="E100" s="80"/>
      <c r="F100" s="80"/>
      <c r="G100" s="80"/>
      <c r="H100" s="80"/>
    </row>
    <row r="101" spans="1:8" ht="15.75" customHeight="1">
      <c r="A101" s="78"/>
      <c r="B101" s="80"/>
      <c r="C101" s="80"/>
      <c r="D101" s="80"/>
      <c r="E101" s="80"/>
      <c r="F101" s="80"/>
      <c r="G101" s="80"/>
      <c r="H101" s="80"/>
    </row>
    <row r="102" spans="1:8" ht="15.75" customHeight="1">
      <c r="A102" s="78"/>
      <c r="B102" s="80"/>
      <c r="C102" s="80"/>
      <c r="D102" s="80"/>
      <c r="E102" s="80"/>
      <c r="F102" s="80"/>
      <c r="G102" s="80"/>
      <c r="H102" s="80"/>
    </row>
    <row r="103" spans="1:8" ht="15.75" customHeight="1">
      <c r="A103" s="78"/>
      <c r="B103" s="80"/>
      <c r="C103" s="80"/>
      <c r="D103" s="80"/>
      <c r="E103" s="80"/>
      <c r="F103" s="80"/>
      <c r="G103" s="80"/>
      <c r="H103" s="80"/>
    </row>
    <row r="104" spans="1:8" ht="15.75" customHeight="1">
      <c r="A104" s="78" t="str">
        <f>A49</f>
        <v>Okra</v>
      </c>
      <c r="B104" s="80"/>
      <c r="C104" s="80"/>
      <c r="D104" s="80"/>
      <c r="E104" s="80"/>
      <c r="F104" s="80"/>
      <c r="G104" s="80"/>
      <c r="H104" s="80"/>
    </row>
    <row r="105" spans="1:8" ht="15.75" customHeight="1">
      <c r="A105" s="78"/>
      <c r="B105" s="80"/>
      <c r="C105" s="80"/>
      <c r="D105" s="80"/>
      <c r="E105" s="80"/>
      <c r="F105" s="80"/>
      <c r="G105" s="80"/>
      <c r="H105" s="80"/>
    </row>
    <row r="106" spans="1:8" ht="15.75" customHeight="1">
      <c r="A106" s="78"/>
      <c r="B106" s="80"/>
      <c r="C106" s="80"/>
      <c r="D106" s="80"/>
      <c r="E106" s="80"/>
      <c r="F106" s="80"/>
      <c r="G106" s="80"/>
      <c r="H106" s="80"/>
    </row>
    <row r="107" spans="1:8" ht="15.75" customHeight="1">
      <c r="A107" s="78"/>
      <c r="B107" s="80"/>
      <c r="C107" s="80"/>
      <c r="D107" s="80"/>
      <c r="E107" s="80"/>
      <c r="F107" s="80"/>
      <c r="G107" s="80"/>
      <c r="H107" s="80"/>
    </row>
    <row r="108" spans="1:8" ht="15.75" customHeight="1">
      <c r="A108" s="78" t="str">
        <f>A50</f>
        <v>Chilli</v>
      </c>
      <c r="B108" s="80"/>
      <c r="C108" s="80"/>
      <c r="D108" s="80"/>
      <c r="E108" s="80"/>
      <c r="F108" s="80"/>
      <c r="G108" s="80"/>
      <c r="H108" s="80"/>
    </row>
    <row r="109" spans="1:8" ht="15.75" customHeight="1">
      <c r="A109" s="78"/>
      <c r="B109" s="80"/>
      <c r="C109" s="80"/>
      <c r="D109" s="80"/>
      <c r="E109" s="80"/>
      <c r="F109" s="80"/>
      <c r="G109" s="80"/>
      <c r="H109" s="80"/>
    </row>
    <row r="110" spans="1:8" ht="15.75" customHeight="1">
      <c r="A110" s="78"/>
      <c r="B110" s="80"/>
      <c r="C110" s="80"/>
      <c r="D110" s="80"/>
      <c r="E110" s="80"/>
      <c r="F110" s="80"/>
      <c r="G110" s="80"/>
      <c r="H110" s="80"/>
    </row>
    <row r="111" spans="1:8" ht="15.75" customHeight="1">
      <c r="A111" s="78"/>
      <c r="B111" s="80"/>
      <c r="C111" s="80"/>
      <c r="D111" s="80"/>
      <c r="E111" s="80"/>
      <c r="F111" s="80"/>
      <c r="G111" s="80"/>
      <c r="H111" s="80"/>
    </row>
    <row r="112" spans="1:8" ht="15.75" customHeight="1">
      <c r="A112" s="81" t="str">
        <f t="shared" ref="A112:A117" si="18">A51</f>
        <v>Brinjal</v>
      </c>
      <c r="B112" s="80"/>
      <c r="C112" s="80"/>
      <c r="D112" s="80"/>
      <c r="E112" s="80"/>
      <c r="F112" s="80"/>
      <c r="G112" s="80"/>
      <c r="H112" s="80"/>
    </row>
    <row r="113" spans="1:8" ht="15.75" customHeight="1">
      <c r="A113" s="78">
        <f t="shared" si="18"/>
        <v>0</v>
      </c>
      <c r="B113" s="80"/>
      <c r="C113" s="80"/>
      <c r="D113" s="80"/>
      <c r="E113" s="80"/>
      <c r="F113" s="80"/>
      <c r="G113" s="80"/>
      <c r="H113" s="80"/>
    </row>
    <row r="114" spans="1:8" ht="15.75" customHeight="1">
      <c r="A114" s="78">
        <f t="shared" si="18"/>
        <v>0</v>
      </c>
      <c r="B114" s="80"/>
      <c r="C114" s="80"/>
      <c r="D114" s="80"/>
      <c r="E114" s="80"/>
      <c r="F114" s="80"/>
      <c r="G114" s="80"/>
      <c r="H114" s="80"/>
    </row>
    <row r="115" spans="1:8" ht="15.75" customHeight="1">
      <c r="A115" s="78">
        <f t="shared" si="18"/>
        <v>0</v>
      </c>
      <c r="B115" s="80"/>
      <c r="C115" s="80"/>
      <c r="D115" s="80"/>
      <c r="E115" s="80"/>
      <c r="F115" s="80"/>
      <c r="G115" s="80"/>
      <c r="H115" s="80"/>
    </row>
    <row r="116" spans="1:8" ht="15.75" customHeight="1">
      <c r="A116" s="78">
        <f t="shared" si="18"/>
        <v>0</v>
      </c>
      <c r="B116" s="80"/>
      <c r="C116" s="80"/>
      <c r="D116" s="80"/>
      <c r="E116" s="80"/>
      <c r="F116" s="80"/>
      <c r="G116" s="80"/>
      <c r="H116" s="80"/>
    </row>
    <row r="117" spans="1:8" ht="15.75" customHeight="1">
      <c r="A117" s="81" t="str">
        <f t="shared" si="18"/>
        <v>Pomegranate</v>
      </c>
      <c r="B117" s="80"/>
      <c r="C117" s="80"/>
      <c r="D117" s="80"/>
      <c r="E117" s="80"/>
      <c r="F117" s="80"/>
      <c r="G117" s="80"/>
      <c r="H117" s="80"/>
    </row>
    <row r="118" spans="1:8" ht="15.75" customHeight="1">
      <c r="A118" s="78" t="s">
        <v>676</v>
      </c>
      <c r="B118" s="80">
        <f t="shared" ref="B118:H118" si="19">(B$56*50%)*0.7</f>
        <v>0</v>
      </c>
      <c r="C118" s="80">
        <f t="shared" si="19"/>
        <v>0</v>
      </c>
      <c r="D118" s="80">
        <f t="shared" si="19"/>
        <v>0</v>
      </c>
      <c r="E118" s="80">
        <f t="shared" si="19"/>
        <v>0</v>
      </c>
      <c r="F118" s="80">
        <f t="shared" si="19"/>
        <v>0</v>
      </c>
      <c r="G118" s="80">
        <f t="shared" si="19"/>
        <v>0</v>
      </c>
      <c r="H118" s="80">
        <f t="shared" si="19"/>
        <v>0</v>
      </c>
    </row>
    <row r="119" spans="1:8" ht="15.75" customHeight="1">
      <c r="A119" s="78" t="s">
        <v>677</v>
      </c>
      <c r="B119" s="80">
        <f>(B$56*50%)*0.7*2</f>
        <v>0</v>
      </c>
      <c r="C119" s="80">
        <f t="shared" ref="C119:H119" si="20">(C$56*50%)*0.7</f>
        <v>0</v>
      </c>
      <c r="D119" s="80">
        <f t="shared" si="20"/>
        <v>0</v>
      </c>
      <c r="E119" s="80">
        <f t="shared" si="20"/>
        <v>0</v>
      </c>
      <c r="F119" s="80">
        <f t="shared" si="20"/>
        <v>0</v>
      </c>
      <c r="G119" s="80">
        <f t="shared" si="20"/>
        <v>0</v>
      </c>
      <c r="H119" s="80">
        <f t="shared" si="20"/>
        <v>0</v>
      </c>
    </row>
    <row r="120" spans="1:8" ht="15.75" customHeight="1">
      <c r="A120" s="78" t="s">
        <v>678</v>
      </c>
      <c r="B120" s="80">
        <f>(B$56*0.3)*0.2</f>
        <v>0</v>
      </c>
      <c r="C120" s="80">
        <f t="shared" ref="C120:H120" si="21">(C$56*50%)*0.7</f>
        <v>0</v>
      </c>
      <c r="D120" s="80">
        <f t="shared" si="21"/>
        <v>0</v>
      </c>
      <c r="E120" s="80">
        <f t="shared" si="21"/>
        <v>0</v>
      </c>
      <c r="F120" s="80">
        <f t="shared" si="21"/>
        <v>0</v>
      </c>
      <c r="G120" s="80">
        <f t="shared" si="21"/>
        <v>0</v>
      </c>
      <c r="H120" s="80">
        <f t="shared" si="21"/>
        <v>0</v>
      </c>
    </row>
    <row r="121" spans="1:8" ht="15.75" customHeight="1">
      <c r="A121" s="78" t="str">
        <f>A57</f>
        <v>Custard Apple</v>
      </c>
      <c r="B121" s="80"/>
      <c r="C121" s="80"/>
      <c r="D121" s="80"/>
      <c r="E121" s="80"/>
      <c r="F121" s="80"/>
      <c r="G121" s="80"/>
      <c r="H121" s="80"/>
    </row>
    <row r="122" spans="1:8" ht="15.75" customHeight="1">
      <c r="A122" s="78"/>
      <c r="B122" s="80"/>
      <c r="C122" s="80"/>
      <c r="D122" s="80"/>
      <c r="E122" s="80"/>
      <c r="F122" s="80"/>
      <c r="G122" s="80"/>
      <c r="H122" s="80"/>
    </row>
    <row r="123" spans="1:8" ht="15.75" customHeight="1">
      <c r="A123" s="78"/>
      <c r="B123" s="80"/>
      <c r="C123" s="80"/>
      <c r="D123" s="80"/>
      <c r="E123" s="80"/>
      <c r="F123" s="80"/>
      <c r="G123" s="80"/>
      <c r="H123" s="80"/>
    </row>
    <row r="124" spans="1:8" ht="15.75" customHeight="1">
      <c r="A124" s="78"/>
      <c r="B124" s="80"/>
      <c r="C124" s="80"/>
      <c r="D124" s="80"/>
      <c r="E124" s="80"/>
      <c r="F124" s="80"/>
      <c r="G124" s="80"/>
      <c r="H124" s="80"/>
    </row>
    <row r="125" spans="1:8" ht="15.75" customHeight="1">
      <c r="A125" s="78" t="str">
        <f>A58</f>
        <v>Guava</v>
      </c>
      <c r="B125" s="80"/>
      <c r="C125" s="80"/>
      <c r="D125" s="80"/>
      <c r="E125" s="80"/>
      <c r="F125" s="80"/>
      <c r="G125" s="80"/>
      <c r="H125" s="80"/>
    </row>
    <row r="126" spans="1:8" ht="15.75" customHeight="1">
      <c r="A126" s="78"/>
      <c r="B126" s="80"/>
      <c r="C126" s="80"/>
      <c r="D126" s="80"/>
      <c r="E126" s="80"/>
      <c r="F126" s="80"/>
      <c r="G126" s="80"/>
      <c r="H126" s="80"/>
    </row>
    <row r="127" spans="1:8" ht="15.75" customHeight="1">
      <c r="A127" s="78"/>
      <c r="B127" s="80"/>
      <c r="C127" s="80"/>
      <c r="D127" s="80"/>
      <c r="E127" s="80"/>
      <c r="F127" s="80"/>
      <c r="G127" s="80"/>
      <c r="H127" s="80"/>
    </row>
    <row r="128" spans="1:8" ht="15.75" customHeight="1">
      <c r="A128" s="78"/>
      <c r="B128" s="80"/>
      <c r="C128" s="80"/>
      <c r="D128" s="80"/>
      <c r="E128" s="80"/>
      <c r="F128" s="80"/>
      <c r="G128" s="80"/>
      <c r="H128" s="80"/>
    </row>
    <row r="129" spans="1:10" ht="15.75" customHeight="1">
      <c r="A129" s="78" t="str">
        <f>A59</f>
        <v>Citrus</v>
      </c>
      <c r="B129" s="80"/>
      <c r="C129" s="80"/>
      <c r="D129" s="80"/>
      <c r="E129" s="80"/>
      <c r="F129" s="80"/>
      <c r="G129" s="80"/>
      <c r="H129" s="80"/>
    </row>
    <row r="130" spans="1:10" ht="15.75" customHeight="1">
      <c r="A130" s="78"/>
      <c r="B130" s="80"/>
      <c r="C130" s="80"/>
      <c r="D130" s="80"/>
      <c r="E130" s="80"/>
      <c r="F130" s="80"/>
      <c r="G130" s="80"/>
      <c r="H130" s="80"/>
    </row>
    <row r="131" spans="1:10" ht="15.75" customHeight="1">
      <c r="A131" s="78"/>
      <c r="B131" s="80"/>
      <c r="C131" s="80"/>
      <c r="D131" s="80"/>
      <c r="E131" s="80"/>
      <c r="F131" s="80"/>
      <c r="G131" s="80"/>
      <c r="H131" s="80"/>
    </row>
    <row r="132" spans="1:10" ht="15.75" customHeight="1">
      <c r="A132" s="78"/>
      <c r="B132" s="80"/>
      <c r="C132" s="80"/>
      <c r="D132" s="80"/>
      <c r="E132" s="80"/>
      <c r="F132" s="80"/>
      <c r="G132" s="80"/>
      <c r="H132" s="80"/>
    </row>
    <row r="133" spans="1:10" ht="15.75" customHeight="1">
      <c r="A133" s="73"/>
      <c r="B133" s="119"/>
      <c r="C133" s="119"/>
      <c r="D133" s="119"/>
      <c r="E133" s="119"/>
      <c r="F133" s="119"/>
      <c r="G133" s="119"/>
      <c r="H133" s="119"/>
    </row>
    <row r="134" spans="1:10" ht="15.75" customHeight="1">
      <c r="A134" s="73" t="s">
        <v>596</v>
      </c>
    </row>
    <row r="135" spans="1:10" ht="15.75" customHeight="1">
      <c r="A135" t="s">
        <v>679</v>
      </c>
      <c r="B135" s="157">
        <f t="shared" ref="B135:H135" si="22">(B118*100)</f>
        <v>0</v>
      </c>
      <c r="C135" s="157">
        <f t="shared" si="22"/>
        <v>0</v>
      </c>
      <c r="D135" s="157">
        <f t="shared" si="22"/>
        <v>0</v>
      </c>
      <c r="E135" s="157">
        <f t="shared" si="22"/>
        <v>0</v>
      </c>
      <c r="F135" s="157">
        <f t="shared" si="22"/>
        <v>0</v>
      </c>
      <c r="G135" s="157">
        <f t="shared" si="22"/>
        <v>0</v>
      </c>
      <c r="H135" s="157">
        <f t="shared" si="22"/>
        <v>0</v>
      </c>
    </row>
    <row r="136" spans="1:10" ht="15.75" customHeight="1">
      <c r="A136" t="s">
        <v>680</v>
      </c>
      <c r="B136" s="157">
        <f t="shared" ref="B136:H136" si="23">(B119*100)</f>
        <v>0</v>
      </c>
      <c r="C136" s="157">
        <f t="shared" si="23"/>
        <v>0</v>
      </c>
      <c r="D136" s="157">
        <f t="shared" si="23"/>
        <v>0</v>
      </c>
      <c r="E136" s="157">
        <f t="shared" si="23"/>
        <v>0</v>
      </c>
      <c r="F136" s="157">
        <f t="shared" si="23"/>
        <v>0</v>
      </c>
      <c r="G136" s="157">
        <f t="shared" si="23"/>
        <v>0</v>
      </c>
      <c r="H136" s="157">
        <f t="shared" si="23"/>
        <v>0</v>
      </c>
    </row>
    <row r="137" spans="1:10" ht="15.75" customHeight="1">
      <c r="A137" t="s">
        <v>681</v>
      </c>
      <c r="B137" s="157">
        <f t="shared" ref="B137:H137" si="24">(B120*100)</f>
        <v>0</v>
      </c>
      <c r="C137" s="157">
        <f t="shared" si="24"/>
        <v>0</v>
      </c>
      <c r="D137" s="157">
        <f t="shared" si="24"/>
        <v>0</v>
      </c>
      <c r="E137" s="157">
        <f t="shared" si="24"/>
        <v>0</v>
      </c>
      <c r="F137" s="157">
        <f t="shared" si="24"/>
        <v>0</v>
      </c>
      <c r="G137" s="157">
        <f t="shared" si="24"/>
        <v>0</v>
      </c>
      <c r="H137" s="157">
        <f t="shared" si="24"/>
        <v>0</v>
      </c>
    </row>
    <row r="138" spans="1:10" ht="15.75" customHeight="1"/>
    <row r="139" spans="1:10" ht="15.75" customHeight="1">
      <c r="B139" s="157"/>
      <c r="C139" s="157"/>
    </row>
    <row r="140" spans="1:10" ht="15.75" customHeight="1">
      <c r="B140" s="157"/>
      <c r="C140" s="157"/>
      <c r="D140" s="157"/>
    </row>
    <row r="141" spans="1:10" ht="15.75" customHeight="1">
      <c r="A141" s="340" t="s">
        <v>682</v>
      </c>
      <c r="B141" s="324"/>
      <c r="C141" s="324"/>
      <c r="D141" s="324"/>
      <c r="E141" s="324"/>
      <c r="F141" s="324"/>
      <c r="G141" s="324"/>
      <c r="H141" s="324"/>
      <c r="I141" s="324"/>
      <c r="J141" s="324"/>
    </row>
    <row r="142" spans="1:10" ht="15.75" customHeight="1">
      <c r="A142" s="26"/>
      <c r="B142" s="26"/>
      <c r="C142" s="26"/>
      <c r="D142" s="26"/>
      <c r="E142" s="26"/>
      <c r="F142" s="26"/>
      <c r="G142" s="26"/>
      <c r="H142" s="26"/>
    </row>
    <row r="143" spans="1:10" s="302" customFormat="1" ht="15.75" customHeight="1">
      <c r="A143" s="298"/>
      <c r="B143" s="298"/>
      <c r="C143" s="298"/>
      <c r="D143" s="299">
        <v>1</v>
      </c>
      <c r="E143" s="300">
        <f t="shared" ref="E143:J143" si="25">(D143*5%)+D143</f>
        <v>1.05</v>
      </c>
      <c r="F143" s="300">
        <f t="shared" si="25"/>
        <v>1.1025</v>
      </c>
      <c r="G143" s="300">
        <f t="shared" si="25"/>
        <v>1.1576250000000001</v>
      </c>
      <c r="H143" s="300">
        <f t="shared" si="25"/>
        <v>1.2155062500000002</v>
      </c>
      <c r="I143" s="300">
        <f t="shared" si="25"/>
        <v>1.2762815625000004</v>
      </c>
      <c r="J143" s="300">
        <f t="shared" si="25"/>
        <v>1.3400956406250004</v>
      </c>
    </row>
    <row r="144" spans="1:10" ht="15.75" customHeight="1">
      <c r="A144" s="73"/>
      <c r="B144" s="73"/>
      <c r="C144" s="73"/>
      <c r="D144" s="73"/>
      <c r="E144" s="73"/>
      <c r="F144" s="73"/>
      <c r="G144" s="73"/>
      <c r="H144" s="73"/>
      <c r="I144" s="73"/>
      <c r="J144" s="73"/>
    </row>
    <row r="145" spans="1:10" ht="15.75" customHeight="1">
      <c r="A145" s="76" t="s">
        <v>142</v>
      </c>
      <c r="B145" s="76" t="s">
        <v>116</v>
      </c>
      <c r="C145" s="76" t="s">
        <v>126</v>
      </c>
      <c r="D145" s="77" t="s">
        <v>145</v>
      </c>
      <c r="E145" s="77" t="s">
        <v>146</v>
      </c>
      <c r="F145" s="77" t="s">
        <v>147</v>
      </c>
      <c r="G145" s="77" t="s">
        <v>148</v>
      </c>
      <c r="H145" s="77" t="s">
        <v>149</v>
      </c>
      <c r="I145" s="77" t="s">
        <v>150</v>
      </c>
      <c r="J145" s="77" t="s">
        <v>151</v>
      </c>
    </row>
    <row r="146" spans="1:10" ht="15.75" customHeight="1">
      <c r="A146" s="78"/>
      <c r="B146" s="78"/>
      <c r="C146" s="78"/>
      <c r="D146" s="78"/>
      <c r="E146" s="78"/>
      <c r="F146" s="78"/>
      <c r="G146" s="78"/>
      <c r="H146" s="78"/>
      <c r="I146" s="78"/>
      <c r="J146" s="78"/>
    </row>
    <row r="147" spans="1:10" ht="15.75" customHeight="1">
      <c r="A147" s="81" t="s">
        <v>339</v>
      </c>
      <c r="B147" s="81"/>
      <c r="C147" s="81"/>
      <c r="D147" s="132"/>
      <c r="E147" s="132"/>
      <c r="F147" s="132"/>
      <c r="G147" s="132"/>
      <c r="H147" s="132"/>
      <c r="I147" s="78"/>
      <c r="J147" s="78"/>
    </row>
    <row r="148" spans="1:10" ht="15.75" customHeight="1">
      <c r="A148" s="78" t="str">
        <f t="shared" ref="A148:A150" si="26">A118</f>
        <v>Pomegranate Arils</v>
      </c>
      <c r="B148" s="50" t="s">
        <v>683</v>
      </c>
      <c r="C148" s="50">
        <v>0</v>
      </c>
      <c r="D148" s="80">
        <f>(B135*(1-'5.Closing Stock &amp; W Capital'!$D$18)*$C148*D$143)</f>
        <v>0</v>
      </c>
      <c r="E148" s="80">
        <f>(((C135*(1-'5.Closing Stock &amp; W Capital'!$D$18))+(B135*'5.Closing Stock &amp; W Capital'!$D$18))*$C148*E$143)</f>
        <v>0</v>
      </c>
      <c r="F148" s="80">
        <f>(((D135*(1-'5.Closing Stock &amp; W Capital'!$D$18))+(C135*'5.Closing Stock &amp; W Capital'!$D$18))*$C148*F$143)</f>
        <v>0</v>
      </c>
      <c r="G148" s="80">
        <f>(((E135*(1-'5.Closing Stock &amp; W Capital'!$D$18))+(D135*'5.Closing Stock &amp; W Capital'!$D$18))*$C148*G$143)</f>
        <v>0</v>
      </c>
      <c r="H148" s="80">
        <f>(((F135*(1-'5.Closing Stock &amp; W Capital'!$D$18))+(E135*'5.Closing Stock &amp; W Capital'!$D$18))*$C148*H$143)</f>
        <v>0</v>
      </c>
      <c r="I148" s="80">
        <f>(((G135*(1-'5.Closing Stock &amp; W Capital'!$D$18))+(F135*'5.Closing Stock &amp; W Capital'!$D$18))*$C148*I$143)</f>
        <v>0</v>
      </c>
      <c r="J148" s="80">
        <f>(((H135*(1-'5.Closing Stock &amp; W Capital'!$D$18))+(G135*'5.Closing Stock &amp; W Capital'!$D$18))*$C148*J$143)</f>
        <v>0</v>
      </c>
    </row>
    <row r="149" spans="1:10" ht="15.75" customHeight="1">
      <c r="A149" s="78" t="str">
        <f t="shared" si="26"/>
        <v>Pomegranate Juice</v>
      </c>
      <c r="B149" s="50" t="s">
        <v>684</v>
      </c>
      <c r="C149" s="50">
        <v>0</v>
      </c>
      <c r="D149" s="80">
        <f>(B136*(1-'5.Closing Stock &amp; W Capital'!$D$18)*$C149*D$143)</f>
        <v>0</v>
      </c>
      <c r="E149" s="80">
        <f>(((C136*(1-'5.Closing Stock &amp; W Capital'!$D$18))+(B136*'5.Closing Stock &amp; W Capital'!$D$18))*$C149*E$143)</f>
        <v>0</v>
      </c>
      <c r="F149" s="80">
        <f>(((D136*(1-'5.Closing Stock &amp; W Capital'!$D$18))+(C136*'5.Closing Stock &amp; W Capital'!$D$18))*$C149*F$143)</f>
        <v>0</v>
      </c>
      <c r="G149" s="80">
        <f>(((E136*(1-'5.Closing Stock &amp; W Capital'!$D$18))+(D136*'5.Closing Stock &amp; W Capital'!$D$18))*$C149*G$143)</f>
        <v>0</v>
      </c>
      <c r="H149" s="80">
        <f>(((F136*(1-'5.Closing Stock &amp; W Capital'!$D$18))+(E136*'5.Closing Stock &amp; W Capital'!$D$18))*$C149*H$143)</f>
        <v>0</v>
      </c>
      <c r="I149" s="80">
        <f>(((G136*(1-'5.Closing Stock &amp; W Capital'!$D$18))+(F136*'5.Closing Stock &amp; W Capital'!$D$18))*$C149*I$143)</f>
        <v>0</v>
      </c>
      <c r="J149" s="80">
        <f>(((H136*(1-'5.Closing Stock &amp; W Capital'!$D$18))+(G136*'5.Closing Stock &amp; W Capital'!$D$18))*$C149*J$143)</f>
        <v>0</v>
      </c>
    </row>
    <row r="150" spans="1:10" ht="15.75" customHeight="1">
      <c r="A150" s="78" t="str">
        <f t="shared" si="26"/>
        <v>Pomegranate Powder</v>
      </c>
      <c r="B150" s="50" t="s">
        <v>600</v>
      </c>
      <c r="C150" s="50">
        <v>0</v>
      </c>
      <c r="D150" s="80">
        <f>(B137*(1-'5.Closing Stock &amp; W Capital'!$D$18)*$C150*D$143)</f>
        <v>0</v>
      </c>
      <c r="E150" s="80">
        <f>(((C137*(1-'5.Closing Stock &amp; W Capital'!$D$18))+(B137*'5.Closing Stock &amp; W Capital'!$D$18))*$C150*E$143)</f>
        <v>0</v>
      </c>
      <c r="F150" s="80">
        <f>(((D137*(1-'5.Closing Stock &amp; W Capital'!$D$18))+(C137*'5.Closing Stock &amp; W Capital'!$D$18))*$C150*F$143)</f>
        <v>0</v>
      </c>
      <c r="G150" s="80">
        <f>(((E137*(1-'5.Closing Stock &amp; W Capital'!$D$18))+(D137*'5.Closing Stock &amp; W Capital'!$D$18))*$C150*G$143)</f>
        <v>0</v>
      </c>
      <c r="H150" s="80">
        <f>(((F137*(1-'5.Closing Stock &amp; W Capital'!$D$18))+(E137*'5.Closing Stock &amp; W Capital'!$D$18))*$C150*H$143)</f>
        <v>0</v>
      </c>
      <c r="I150" s="80">
        <f>(((G137*(1-'5.Closing Stock &amp; W Capital'!$D$18))+(F137*'5.Closing Stock &amp; W Capital'!$D$18))*$C150*I$143)</f>
        <v>0</v>
      </c>
      <c r="J150" s="80">
        <f>(((H137*(1-'5.Closing Stock &amp; W Capital'!$D$18))+(G137*'5.Closing Stock &amp; W Capital'!$D$18))*$C150*J$143)</f>
        <v>0</v>
      </c>
    </row>
    <row r="151" spans="1:10" ht="15.75" customHeight="1">
      <c r="A151" s="78"/>
      <c r="B151" s="50"/>
      <c r="C151" s="50"/>
      <c r="D151" s="80"/>
      <c r="E151" s="80"/>
      <c r="F151" s="80"/>
      <c r="G151" s="80"/>
      <c r="H151" s="80"/>
      <c r="I151" s="80"/>
      <c r="J151" s="80"/>
    </row>
    <row r="152" spans="1:10" ht="15.75" customHeight="1">
      <c r="A152" s="78"/>
      <c r="B152" s="78"/>
      <c r="C152" s="78"/>
      <c r="D152" s="80"/>
      <c r="E152" s="80"/>
      <c r="F152" s="80"/>
      <c r="G152" s="80"/>
      <c r="H152" s="80"/>
      <c r="I152" s="80"/>
      <c r="J152" s="80"/>
    </row>
    <row r="153" spans="1:10" ht="15.75" customHeight="1">
      <c r="A153" s="81" t="s">
        <v>339</v>
      </c>
      <c r="B153" s="81"/>
      <c r="C153" s="81"/>
      <c r="D153" s="82">
        <f t="shared" ref="D153:J153" si="27">SUM(D148:D151)</f>
        <v>0</v>
      </c>
      <c r="E153" s="82">
        <f t="shared" si="27"/>
        <v>0</v>
      </c>
      <c r="F153" s="82">
        <f t="shared" si="27"/>
        <v>0</v>
      </c>
      <c r="G153" s="82">
        <f t="shared" si="27"/>
        <v>0</v>
      </c>
      <c r="H153" s="82">
        <f t="shared" si="27"/>
        <v>0</v>
      </c>
      <c r="I153" s="82">
        <f t="shared" si="27"/>
        <v>0</v>
      </c>
      <c r="J153" s="82">
        <f t="shared" si="27"/>
        <v>0</v>
      </c>
    </row>
    <row r="154" spans="1:10" ht="15.75" customHeight="1">
      <c r="A154" s="78"/>
      <c r="B154" s="78"/>
      <c r="C154" s="78"/>
      <c r="D154" s="80"/>
      <c r="E154" s="80"/>
      <c r="F154" s="80"/>
      <c r="G154" s="80"/>
      <c r="H154" s="80"/>
      <c r="I154" s="80"/>
      <c r="J154" s="80"/>
    </row>
    <row r="155" spans="1:10" ht="15.75" customHeight="1">
      <c r="A155" s="81" t="s">
        <v>573</v>
      </c>
      <c r="B155" s="81"/>
      <c r="C155" s="81"/>
      <c r="D155" s="80"/>
      <c r="E155" s="80"/>
      <c r="F155" s="80"/>
      <c r="G155" s="80"/>
      <c r="H155" s="80"/>
      <c r="I155" s="80"/>
      <c r="J155" s="80"/>
    </row>
    <row r="156" spans="1:10" ht="15.75" customHeight="1">
      <c r="A156" s="81" t="s">
        <v>346</v>
      </c>
      <c r="B156" s="81"/>
      <c r="C156" s="78"/>
      <c r="D156" s="80"/>
      <c r="E156" s="80"/>
      <c r="F156" s="80"/>
      <c r="G156" s="80"/>
      <c r="H156" s="80"/>
      <c r="I156" s="80"/>
      <c r="J156" s="80"/>
    </row>
    <row r="157" spans="1:10" ht="15.75" customHeight="1">
      <c r="A157" s="78" t="s">
        <v>685</v>
      </c>
      <c r="B157" s="50" t="s">
        <v>571</v>
      </c>
      <c r="C157" s="79">
        <v>0</v>
      </c>
      <c r="D157" s="80">
        <f t="shared" ref="D157:J157" si="28">B56*$C157*D$143</f>
        <v>0</v>
      </c>
      <c r="E157" s="80">
        <f t="shared" si="28"/>
        <v>0</v>
      </c>
      <c r="F157" s="80">
        <f t="shared" si="28"/>
        <v>0</v>
      </c>
      <c r="G157" s="80">
        <f t="shared" si="28"/>
        <v>0</v>
      </c>
      <c r="H157" s="80">
        <f t="shared" si="28"/>
        <v>0</v>
      </c>
      <c r="I157" s="80">
        <f t="shared" si="28"/>
        <v>0</v>
      </c>
      <c r="J157" s="80">
        <f t="shared" si="28"/>
        <v>0</v>
      </c>
    </row>
    <row r="158" spans="1:10" ht="15.75" customHeight="1">
      <c r="A158" s="78" t="s">
        <v>686</v>
      </c>
      <c r="B158" s="50" t="s">
        <v>571</v>
      </c>
      <c r="C158" s="50">
        <v>0</v>
      </c>
      <c r="D158" s="80">
        <f t="shared" ref="D158:J158" si="29">(B56*10%)*$C158*D$143</f>
        <v>0</v>
      </c>
      <c r="E158" s="80">
        <f t="shared" si="29"/>
        <v>0</v>
      </c>
      <c r="F158" s="80">
        <f t="shared" si="29"/>
        <v>0</v>
      </c>
      <c r="G158" s="80">
        <f t="shared" si="29"/>
        <v>0</v>
      </c>
      <c r="H158" s="80">
        <f t="shared" si="29"/>
        <v>0</v>
      </c>
      <c r="I158" s="80">
        <f t="shared" si="29"/>
        <v>0</v>
      </c>
      <c r="J158" s="80">
        <f t="shared" si="29"/>
        <v>0</v>
      </c>
    </row>
    <row r="159" spans="1:10" ht="15.75" customHeight="1">
      <c r="A159" s="78" t="s">
        <v>604</v>
      </c>
      <c r="B159" s="50">
        <v>0</v>
      </c>
      <c r="C159" s="50">
        <v>0</v>
      </c>
      <c r="D159" s="80">
        <f t="shared" ref="D159:J159" si="30">B6*$B$159*$C$159*D143</f>
        <v>0</v>
      </c>
      <c r="E159" s="80">
        <f t="shared" si="30"/>
        <v>0</v>
      </c>
      <c r="F159" s="80">
        <f t="shared" si="30"/>
        <v>0</v>
      </c>
      <c r="G159" s="80">
        <f t="shared" si="30"/>
        <v>0</v>
      </c>
      <c r="H159" s="80">
        <f t="shared" si="30"/>
        <v>0</v>
      </c>
      <c r="I159" s="80">
        <f t="shared" si="30"/>
        <v>0</v>
      </c>
      <c r="J159" s="80">
        <f t="shared" si="30"/>
        <v>0</v>
      </c>
    </row>
    <row r="160" spans="1:10" ht="15.75" customHeight="1">
      <c r="A160" s="78" t="s">
        <v>575</v>
      </c>
      <c r="B160" s="78">
        <f>'2.Capex Details'!H61*0.746*8</f>
        <v>0</v>
      </c>
      <c r="C160" s="50">
        <v>0</v>
      </c>
      <c r="D160" s="80">
        <f t="shared" ref="D160:J160" si="31">$B$160*$C$160*B6*D143</f>
        <v>0</v>
      </c>
      <c r="E160" s="80">
        <f t="shared" si="31"/>
        <v>0</v>
      </c>
      <c r="F160" s="80">
        <f t="shared" si="31"/>
        <v>0</v>
      </c>
      <c r="G160" s="80">
        <f t="shared" si="31"/>
        <v>0</v>
      </c>
      <c r="H160" s="80">
        <f t="shared" si="31"/>
        <v>0</v>
      </c>
      <c r="I160" s="80">
        <f t="shared" si="31"/>
        <v>0</v>
      </c>
      <c r="J160" s="80">
        <f t="shared" si="31"/>
        <v>0</v>
      </c>
    </row>
    <row r="161" spans="1:10" ht="15.75" customHeight="1">
      <c r="A161" s="78" t="s">
        <v>605</v>
      </c>
      <c r="B161" s="78" t="s">
        <v>571</v>
      </c>
      <c r="C161" s="50">
        <v>0</v>
      </c>
      <c r="D161" s="80">
        <f t="shared" ref="D161:J161" si="32">B56*$C161*D$143</f>
        <v>0</v>
      </c>
      <c r="E161" s="80">
        <f t="shared" si="32"/>
        <v>0</v>
      </c>
      <c r="F161" s="80">
        <f t="shared" si="32"/>
        <v>0</v>
      </c>
      <c r="G161" s="80">
        <f t="shared" si="32"/>
        <v>0</v>
      </c>
      <c r="H161" s="80">
        <f t="shared" si="32"/>
        <v>0</v>
      </c>
      <c r="I161" s="80">
        <f t="shared" si="32"/>
        <v>0</v>
      </c>
      <c r="J161" s="80">
        <f t="shared" si="32"/>
        <v>0</v>
      </c>
    </row>
    <row r="162" spans="1:10" ht="15.75" customHeight="1">
      <c r="A162" s="196" t="s">
        <v>606</v>
      </c>
      <c r="B162" s="196"/>
      <c r="C162" s="278">
        <v>0</v>
      </c>
      <c r="D162" s="80">
        <f t="shared" ref="D162:J162" si="33">SUM(B135:B137)*$C$162*D$143</f>
        <v>0</v>
      </c>
      <c r="E162" s="80">
        <f t="shared" si="33"/>
        <v>0</v>
      </c>
      <c r="F162" s="80">
        <f t="shared" si="33"/>
        <v>0</v>
      </c>
      <c r="G162" s="80">
        <f t="shared" si="33"/>
        <v>0</v>
      </c>
      <c r="H162" s="80">
        <f t="shared" si="33"/>
        <v>0</v>
      </c>
      <c r="I162" s="80">
        <f t="shared" si="33"/>
        <v>0</v>
      </c>
      <c r="J162" s="80">
        <f t="shared" si="33"/>
        <v>0</v>
      </c>
    </row>
    <row r="163" spans="1:10" ht="15.75" customHeight="1">
      <c r="A163" s="78" t="s">
        <v>607</v>
      </c>
      <c r="B163" s="78"/>
      <c r="C163" s="50">
        <v>0</v>
      </c>
      <c r="D163" s="80">
        <f t="shared" ref="D163:J163" si="34">SUM(B135:B137)*$C$163*D$143</f>
        <v>0</v>
      </c>
      <c r="E163" s="80">
        <f t="shared" si="34"/>
        <v>0</v>
      </c>
      <c r="F163" s="80">
        <f t="shared" si="34"/>
        <v>0</v>
      </c>
      <c r="G163" s="80">
        <f t="shared" si="34"/>
        <v>0</v>
      </c>
      <c r="H163" s="80">
        <f t="shared" si="34"/>
        <v>0</v>
      </c>
      <c r="I163" s="80">
        <f t="shared" si="34"/>
        <v>0</v>
      </c>
      <c r="J163" s="80">
        <f t="shared" si="34"/>
        <v>0</v>
      </c>
    </row>
    <row r="164" spans="1:10" ht="15.75" customHeight="1">
      <c r="A164" s="139"/>
      <c r="B164" s="139"/>
      <c r="C164" s="139"/>
      <c r="D164" s="139"/>
      <c r="E164" s="139"/>
      <c r="F164" s="139"/>
      <c r="G164" s="139"/>
      <c r="H164" s="139"/>
      <c r="I164" s="139"/>
      <c r="J164" s="139"/>
    </row>
    <row r="165" spans="1:10" ht="15.75" customHeight="1">
      <c r="A165" s="139"/>
      <c r="B165" s="139"/>
      <c r="C165" s="139"/>
      <c r="D165" s="139"/>
      <c r="E165" s="139"/>
      <c r="F165" s="139"/>
      <c r="G165" s="139"/>
      <c r="H165" s="139"/>
      <c r="I165" s="139"/>
      <c r="J165" s="139"/>
    </row>
    <row r="166" spans="1:10" ht="15.75" customHeight="1">
      <c r="A166" s="139"/>
      <c r="B166" s="139"/>
      <c r="C166" s="139"/>
      <c r="D166" s="139"/>
      <c r="E166" s="139"/>
      <c r="F166" s="139"/>
      <c r="G166" s="139"/>
      <c r="H166" s="139"/>
      <c r="I166" s="139"/>
      <c r="J166" s="139"/>
    </row>
    <row r="167" spans="1:10" ht="15.75" customHeight="1">
      <c r="A167" s="139"/>
      <c r="B167" s="139"/>
      <c r="C167" s="139"/>
      <c r="D167" s="139"/>
      <c r="E167" s="139"/>
      <c r="F167" s="139"/>
      <c r="G167" s="139"/>
      <c r="H167" s="139"/>
      <c r="I167" s="139"/>
      <c r="J167" s="139"/>
    </row>
    <row r="168" spans="1:10" ht="15.75" customHeight="1">
      <c r="A168" s="80" t="s">
        <v>578</v>
      </c>
      <c r="B168" s="80"/>
      <c r="C168" s="80"/>
      <c r="D168" s="80"/>
      <c r="E168" s="80">
        <v>0</v>
      </c>
      <c r="F168" s="80">
        <v>0</v>
      </c>
      <c r="G168" s="80">
        <v>0</v>
      </c>
      <c r="H168" s="80">
        <v>0</v>
      </c>
      <c r="I168" s="80">
        <v>0</v>
      </c>
      <c r="J168" s="80">
        <v>0</v>
      </c>
    </row>
    <row r="169" spans="1:10" ht="15.75" customHeight="1">
      <c r="A169" s="80" t="s">
        <v>579</v>
      </c>
      <c r="B169" s="80"/>
      <c r="C169" s="80"/>
      <c r="D169" s="80">
        <v>0</v>
      </c>
      <c r="E169" s="80">
        <v>0</v>
      </c>
      <c r="F169" s="80">
        <v>0</v>
      </c>
      <c r="G169" s="80">
        <v>0</v>
      </c>
      <c r="H169" s="80">
        <v>0</v>
      </c>
      <c r="I169" s="80">
        <v>0</v>
      </c>
      <c r="J169" s="80">
        <v>0</v>
      </c>
    </row>
    <row r="170" spans="1:10" ht="15.75" customHeight="1">
      <c r="A170" s="80"/>
      <c r="B170" s="80"/>
      <c r="C170" s="80"/>
      <c r="D170" s="80"/>
      <c r="E170" s="80"/>
      <c r="F170" s="80"/>
      <c r="G170" s="80"/>
      <c r="H170" s="80"/>
      <c r="I170" s="80"/>
      <c r="J170" s="80"/>
    </row>
    <row r="171" spans="1:10" ht="15.75" customHeight="1">
      <c r="A171" s="82" t="s">
        <v>347</v>
      </c>
      <c r="B171" s="80"/>
      <c r="C171" s="80"/>
      <c r="D171" s="82">
        <f t="shared" ref="D171:J171" si="35">SUM(D157:D168)-D169</f>
        <v>0</v>
      </c>
      <c r="E171" s="82">
        <f t="shared" si="35"/>
        <v>0</v>
      </c>
      <c r="F171" s="82">
        <f t="shared" si="35"/>
        <v>0</v>
      </c>
      <c r="G171" s="82">
        <f t="shared" si="35"/>
        <v>0</v>
      </c>
      <c r="H171" s="82">
        <f t="shared" si="35"/>
        <v>0</v>
      </c>
      <c r="I171" s="82">
        <f t="shared" si="35"/>
        <v>0</v>
      </c>
      <c r="J171" s="82">
        <f t="shared" si="35"/>
        <v>0</v>
      </c>
    </row>
    <row r="172" spans="1:10" ht="15.75" customHeight="1">
      <c r="A172" s="73"/>
      <c r="B172" s="73"/>
      <c r="C172" s="73"/>
      <c r="D172" s="73"/>
      <c r="E172" s="73"/>
      <c r="F172" s="73"/>
      <c r="G172" s="73"/>
      <c r="H172" s="73"/>
      <c r="I172" s="73"/>
      <c r="J172" s="73"/>
    </row>
    <row r="173" spans="1:10" ht="15.75" customHeight="1">
      <c r="A173" s="192" t="s">
        <v>348</v>
      </c>
      <c r="B173" s="192"/>
      <c r="C173" s="192"/>
      <c r="D173" s="82"/>
      <c r="E173" s="82"/>
      <c r="F173" s="82"/>
      <c r="G173" s="82"/>
      <c r="H173" s="82"/>
      <c r="I173" s="82"/>
      <c r="J173" s="82"/>
    </row>
    <row r="174" spans="1:10" ht="15.75" customHeight="1">
      <c r="A174" s="78" t="s">
        <v>580</v>
      </c>
      <c r="B174" s="50">
        <v>0</v>
      </c>
      <c r="C174" s="79"/>
      <c r="D174" s="80">
        <f t="shared" ref="D174:J174" si="36">$B$174*$C$174*12*D143</f>
        <v>0</v>
      </c>
      <c r="E174" s="80">
        <f t="shared" si="36"/>
        <v>0</v>
      </c>
      <c r="F174" s="80">
        <f t="shared" si="36"/>
        <v>0</v>
      </c>
      <c r="G174" s="80">
        <f t="shared" si="36"/>
        <v>0</v>
      </c>
      <c r="H174" s="80">
        <f t="shared" si="36"/>
        <v>0</v>
      </c>
      <c r="I174" s="80">
        <f t="shared" si="36"/>
        <v>0</v>
      </c>
      <c r="J174" s="80">
        <f t="shared" si="36"/>
        <v>0</v>
      </c>
    </row>
    <row r="175" spans="1:10" ht="15.75" customHeight="1">
      <c r="A175" s="78" t="s">
        <v>670</v>
      </c>
      <c r="B175" s="50">
        <v>0</v>
      </c>
      <c r="C175" s="79"/>
      <c r="D175" s="80">
        <f t="shared" ref="D175:J175" si="37">$B$175*$C$175*12*D143</f>
        <v>0</v>
      </c>
      <c r="E175" s="80">
        <f t="shared" si="37"/>
        <v>0</v>
      </c>
      <c r="F175" s="80">
        <f t="shared" si="37"/>
        <v>0</v>
      </c>
      <c r="G175" s="80">
        <f t="shared" si="37"/>
        <v>0</v>
      </c>
      <c r="H175" s="80">
        <f t="shared" si="37"/>
        <v>0</v>
      </c>
      <c r="I175" s="80">
        <f t="shared" si="37"/>
        <v>0</v>
      </c>
      <c r="J175" s="80">
        <f t="shared" si="37"/>
        <v>0</v>
      </c>
    </row>
    <row r="176" spans="1:10" ht="15.75" customHeight="1">
      <c r="A176" s="78"/>
      <c r="B176" s="50"/>
      <c r="C176" s="79"/>
      <c r="D176" s="80"/>
      <c r="E176" s="80"/>
      <c r="F176" s="80"/>
      <c r="G176" s="80"/>
      <c r="H176" s="80"/>
      <c r="I176" s="80"/>
      <c r="J176" s="80"/>
    </row>
    <row r="177" spans="1:10" ht="15.75" customHeight="1">
      <c r="A177" s="78"/>
      <c r="B177" s="50"/>
      <c r="C177" s="79"/>
      <c r="D177" s="80"/>
      <c r="E177" s="80"/>
      <c r="F177" s="80"/>
      <c r="G177" s="80"/>
      <c r="H177" s="80"/>
      <c r="I177" s="80"/>
      <c r="J177" s="80"/>
    </row>
    <row r="178" spans="1:10" ht="15.75" customHeight="1">
      <c r="A178" s="78"/>
      <c r="B178" s="50"/>
      <c r="C178" s="79"/>
      <c r="D178" s="80"/>
      <c r="E178" s="80"/>
      <c r="F178" s="80"/>
      <c r="G178" s="80"/>
      <c r="H178" s="80"/>
      <c r="I178" s="80"/>
      <c r="J178" s="80"/>
    </row>
    <row r="179" spans="1:10" ht="15.75" customHeight="1">
      <c r="A179" s="81" t="s">
        <v>348</v>
      </c>
      <c r="B179" s="81"/>
      <c r="C179" s="81"/>
      <c r="D179" s="82">
        <f t="shared" ref="D179:J179" si="38">SUM(D174:D178)</f>
        <v>0</v>
      </c>
      <c r="E179" s="82">
        <f t="shared" si="38"/>
        <v>0</v>
      </c>
      <c r="F179" s="82">
        <f t="shared" si="38"/>
        <v>0</v>
      </c>
      <c r="G179" s="82">
        <f t="shared" si="38"/>
        <v>0</v>
      </c>
      <c r="H179" s="82">
        <f t="shared" si="38"/>
        <v>0</v>
      </c>
      <c r="I179" s="82">
        <f t="shared" si="38"/>
        <v>0</v>
      </c>
      <c r="J179" s="82">
        <f t="shared" si="38"/>
        <v>0</v>
      </c>
    </row>
    <row r="180" spans="1:10" ht="15.75" customHeight="1">
      <c r="A180" s="192" t="s">
        <v>608</v>
      </c>
      <c r="B180" s="192"/>
      <c r="C180" s="192"/>
      <c r="D180" s="82">
        <f t="shared" ref="D180:J180" si="39">D171+D179</f>
        <v>0</v>
      </c>
      <c r="E180" s="82">
        <f t="shared" si="39"/>
        <v>0</v>
      </c>
      <c r="F180" s="82">
        <f t="shared" si="39"/>
        <v>0</v>
      </c>
      <c r="G180" s="82">
        <f t="shared" si="39"/>
        <v>0</v>
      </c>
      <c r="H180" s="82">
        <f t="shared" si="39"/>
        <v>0</v>
      </c>
      <c r="I180" s="82">
        <f t="shared" si="39"/>
        <v>0</v>
      </c>
      <c r="J180" s="82">
        <f t="shared" si="39"/>
        <v>0</v>
      </c>
    </row>
    <row r="181" spans="1:10" ht="15.75" customHeight="1">
      <c r="A181" s="78"/>
      <c r="B181" s="78"/>
      <c r="C181" s="78"/>
      <c r="D181" s="80"/>
      <c r="E181" s="80"/>
      <c r="F181" s="80"/>
      <c r="G181" s="80"/>
      <c r="H181" s="80"/>
      <c r="I181" s="80"/>
      <c r="J181" s="80"/>
    </row>
    <row r="182" spans="1:10" ht="15.75" customHeight="1">
      <c r="A182" s="81" t="s">
        <v>395</v>
      </c>
      <c r="B182" s="81"/>
      <c r="C182" s="81"/>
      <c r="D182" s="82">
        <f t="shared" ref="D182:J182" si="40">D153-D180</f>
        <v>0</v>
      </c>
      <c r="E182" s="82">
        <f t="shared" si="40"/>
        <v>0</v>
      </c>
      <c r="F182" s="82">
        <f t="shared" si="40"/>
        <v>0</v>
      </c>
      <c r="G182" s="82">
        <f t="shared" si="40"/>
        <v>0</v>
      </c>
      <c r="H182" s="82">
        <f t="shared" si="40"/>
        <v>0</v>
      </c>
      <c r="I182" s="82">
        <f t="shared" si="40"/>
        <v>0</v>
      </c>
      <c r="J182" s="82">
        <f t="shared" si="40"/>
        <v>0</v>
      </c>
    </row>
    <row r="183" spans="1:10" ht="15.75" customHeight="1">
      <c r="A183" s="342" t="s">
        <v>705</v>
      </c>
      <c r="B183" s="324"/>
      <c r="C183" s="324"/>
      <c r="D183" s="324"/>
      <c r="E183" s="324"/>
      <c r="F183" s="324"/>
      <c r="G183" s="324"/>
      <c r="H183" s="324"/>
      <c r="I183" s="324"/>
      <c r="J183" s="324"/>
    </row>
    <row r="184" spans="1:10" ht="15.75" customHeight="1"/>
    <row r="185" spans="1:10" ht="15.75" customHeight="1">
      <c r="A185" t="s">
        <v>306</v>
      </c>
    </row>
    <row r="186" spans="1:10" ht="15.75" customHeight="1">
      <c r="A186">
        <v>1</v>
      </c>
      <c r="B186" t="s">
        <v>585</v>
      </c>
    </row>
    <row r="187" spans="1:10" ht="15.75" customHeight="1">
      <c r="A187">
        <v>2</v>
      </c>
      <c r="B187" t="s">
        <v>586</v>
      </c>
      <c r="C187" s="159"/>
      <c r="D187" s="159"/>
      <c r="E187" s="159"/>
    </row>
    <row r="188" spans="1:10" ht="15.75" customHeight="1">
      <c r="A188">
        <v>3</v>
      </c>
      <c r="B188" s="73" t="s">
        <v>587</v>
      </c>
    </row>
  </sheetData>
  <mergeCells count="4">
    <mergeCell ref="A1:H1"/>
    <mergeCell ref="A141:J141"/>
    <mergeCell ref="A183:J183"/>
    <mergeCell ref="A2:H2"/>
  </mergeCells>
  <pageMargins left="0.7" right="0.05" top="0.25" bottom="0.05" header="0" footer="0"/>
  <pageSetup paperSize="9" scale="72" orientation="portrait" r:id="rId1"/>
  <rowBreaks count="2" manualBreakCount="2">
    <brk id="66" max="9" man="1"/>
    <brk id="138" max="16383" man="1"/>
  </rowBreaks>
</worksheet>
</file>

<file path=xl/worksheets/sheet2.xml><?xml version="1.0" encoding="utf-8"?>
<worksheet xmlns="http://schemas.openxmlformats.org/spreadsheetml/2006/main" xmlns:r="http://schemas.openxmlformats.org/officeDocument/2006/relationships">
  <dimension ref="A2:J100"/>
  <sheetViews>
    <sheetView tabSelected="1" topLeftCell="A24" workbookViewId="0">
      <selection activeCell="D33" sqref="D33"/>
    </sheetView>
  </sheetViews>
  <sheetFormatPr defaultColWidth="14.42578125" defaultRowHeight="15" customHeight="1"/>
  <cols>
    <col min="1" max="1" width="8.7109375" customWidth="1"/>
    <col min="2" max="2" width="7.5703125" customWidth="1"/>
    <col min="3" max="3" width="26.28515625" customWidth="1"/>
    <col min="4" max="4" width="15" customWidth="1"/>
    <col min="5" max="5" width="16" customWidth="1"/>
    <col min="6" max="6" width="17.85546875" customWidth="1"/>
    <col min="7" max="7" width="8.7109375" customWidth="1"/>
    <col min="8" max="8" width="10" bestFit="1" customWidth="1"/>
    <col min="9" max="9" width="8.7109375" customWidth="1"/>
    <col min="10" max="10" width="10" bestFit="1" customWidth="1"/>
    <col min="11" max="13" width="8.7109375" customWidth="1"/>
  </cols>
  <sheetData>
    <row r="2" spans="1:10" ht="18.75">
      <c r="B2" s="340" t="s">
        <v>75</v>
      </c>
      <c r="C2" s="324"/>
      <c r="D2" s="324"/>
      <c r="E2" s="324"/>
      <c r="F2" s="324"/>
    </row>
    <row r="4" spans="1:10">
      <c r="B4" s="11" t="s">
        <v>76</v>
      </c>
      <c r="C4" s="11" t="s">
        <v>77</v>
      </c>
      <c r="D4" s="11" t="s">
        <v>78</v>
      </c>
      <c r="E4" s="12" t="s">
        <v>79</v>
      </c>
      <c r="F4" s="12" t="s">
        <v>80</v>
      </c>
    </row>
    <row r="5" spans="1:10">
      <c r="B5" s="13">
        <v>1</v>
      </c>
      <c r="C5" s="14" t="str">
        <f>'2.Capex Details'!B2</f>
        <v>Land and Building</v>
      </c>
      <c r="D5" s="15">
        <f>'2.Capex Details'!G12</f>
        <v>14510500</v>
      </c>
      <c r="E5" s="16">
        <v>0.6</v>
      </c>
      <c r="F5" s="17">
        <f t="shared" ref="F5:F10" si="0">D5*E5</f>
        <v>8706300</v>
      </c>
    </row>
    <row r="6" spans="1:10">
      <c r="B6" s="13">
        <v>2</v>
      </c>
      <c r="C6" s="14" t="str">
        <f>'2.Capex Details'!B17</f>
        <v>Machinery and Equipment</v>
      </c>
      <c r="D6" s="15">
        <f>'2.Capex Details'!G63</f>
        <v>8880680</v>
      </c>
      <c r="E6" s="16">
        <v>0.6</v>
      </c>
      <c r="F6" s="17">
        <f t="shared" si="0"/>
        <v>5328408</v>
      </c>
    </row>
    <row r="7" spans="1:10">
      <c r="B7" s="13">
        <v>3</v>
      </c>
      <c r="C7" s="14" t="str">
        <f>'2.Capex Details'!B69</f>
        <v>Furniture and Fixture</v>
      </c>
      <c r="D7" s="15">
        <f>'2.Capex Details'!F78</f>
        <v>150000</v>
      </c>
      <c r="E7" s="16">
        <v>0.6</v>
      </c>
      <c r="F7" s="17">
        <f t="shared" si="0"/>
        <v>90000</v>
      </c>
    </row>
    <row r="8" spans="1:10">
      <c r="B8" s="13">
        <v>4</v>
      </c>
      <c r="C8" s="14" t="str">
        <f>'2.Capex Details'!B83</f>
        <v>IT &amp; It Infrastracture</v>
      </c>
      <c r="D8" s="15">
        <f>'2.Capex Details'!F92</f>
        <v>135300</v>
      </c>
      <c r="E8" s="16">
        <v>0.6</v>
      </c>
      <c r="F8" s="17">
        <f t="shared" si="0"/>
        <v>81180</v>
      </c>
    </row>
    <row r="9" spans="1:10" ht="25.5">
      <c r="B9" s="13">
        <v>5</v>
      </c>
      <c r="C9" s="14" t="str">
        <f>'2.Capex Details'!B97</f>
        <v>Transport Vehical  (Refer van and other)</v>
      </c>
      <c r="D9" s="15">
        <f>'2.Capex Details'!F103</f>
        <v>0</v>
      </c>
      <c r="E9" s="16">
        <v>0.6</v>
      </c>
      <c r="F9" s="17">
        <f t="shared" si="0"/>
        <v>0</v>
      </c>
    </row>
    <row r="10" spans="1:10">
      <c r="B10" s="13">
        <v>6</v>
      </c>
      <c r="C10" s="14" t="str">
        <f>'2.Capex Details'!B107</f>
        <v>Preliminary Expenses</v>
      </c>
      <c r="D10" s="15">
        <f>'2.Capex Details'!D115</f>
        <v>500000</v>
      </c>
      <c r="E10" s="16">
        <v>0.6</v>
      </c>
      <c r="F10" s="17">
        <f t="shared" si="0"/>
        <v>300000</v>
      </c>
    </row>
    <row r="11" spans="1:10">
      <c r="B11" s="13">
        <v>7</v>
      </c>
      <c r="C11" s="14" t="s">
        <v>81</v>
      </c>
      <c r="D11" s="15">
        <f>+'5.Closing Stock &amp; W Capital'!E57</f>
        <v>187528.97471972601</v>
      </c>
      <c r="E11" s="18"/>
      <c r="F11" s="18"/>
    </row>
    <row r="12" spans="1:10">
      <c r="B12" s="341" t="s">
        <v>82</v>
      </c>
      <c r="C12" s="329"/>
      <c r="D12" s="19">
        <f>SUM(D5:D11)</f>
        <v>24364008.974719726</v>
      </c>
      <c r="E12" s="18"/>
      <c r="F12" s="19">
        <f>SUM(F5:F11)</f>
        <v>14505888</v>
      </c>
      <c r="H12" s="159"/>
    </row>
    <row r="13" spans="1:10">
      <c r="D13" s="20"/>
      <c r="J13" s="159"/>
    </row>
    <row r="14" spans="1:10" ht="25.5" customHeight="1">
      <c r="A14" s="343" t="s">
        <v>83</v>
      </c>
      <c r="B14" s="324"/>
      <c r="C14" s="324"/>
      <c r="D14" s="324"/>
      <c r="E14" s="324"/>
      <c r="F14" s="324"/>
    </row>
    <row r="16" spans="1:10" ht="18.75">
      <c r="B16" s="340" t="s">
        <v>84</v>
      </c>
      <c r="C16" s="324"/>
      <c r="D16" s="324"/>
      <c r="E16" s="324"/>
      <c r="F16" s="324"/>
    </row>
    <row r="18" spans="2:8">
      <c r="B18" s="21" t="s">
        <v>76</v>
      </c>
      <c r="C18" s="11" t="s">
        <v>77</v>
      </c>
      <c r="D18" s="11" t="s">
        <v>85</v>
      </c>
      <c r="E18" s="11" t="s">
        <v>78</v>
      </c>
    </row>
    <row r="19" spans="2:8" ht="25.5">
      <c r="B19" s="13">
        <v>1</v>
      </c>
      <c r="C19" s="14" t="s">
        <v>86</v>
      </c>
      <c r="D19" s="22"/>
      <c r="E19" s="23">
        <f>F12</f>
        <v>14505888</v>
      </c>
    </row>
    <row r="20" spans="2:8">
      <c r="B20" s="13">
        <v>2</v>
      </c>
      <c r="C20" s="14" t="s">
        <v>87</v>
      </c>
      <c r="D20" s="24"/>
      <c r="E20" s="23">
        <f>+D12-E19-E21</f>
        <v>8638120.9747197255</v>
      </c>
    </row>
    <row r="21" spans="2:8" ht="15.75" customHeight="1">
      <c r="B21" s="13">
        <v>3</v>
      </c>
      <c r="C21" s="14" t="s">
        <v>88</v>
      </c>
      <c r="D21" s="23"/>
      <c r="E21" s="23">
        <v>1220000</v>
      </c>
    </row>
    <row r="22" spans="2:8" ht="15.75" customHeight="1">
      <c r="B22" s="341" t="s">
        <v>82</v>
      </c>
      <c r="C22" s="329"/>
      <c r="D22" s="25"/>
      <c r="E22" s="25">
        <f>SUM(E19:E21)</f>
        <v>24364008.974719726</v>
      </c>
    </row>
    <row r="23" spans="2:8" ht="15.75" customHeight="1"/>
    <row r="24" spans="2:8" ht="15.75" customHeight="1">
      <c r="B24" s="342" t="s">
        <v>89</v>
      </c>
      <c r="C24" s="324"/>
      <c r="D24" s="324"/>
      <c r="E24" s="324"/>
      <c r="F24" s="324"/>
    </row>
    <row r="25" spans="2:8" ht="15.75" customHeight="1"/>
    <row r="26" spans="2:8" ht="15.75" customHeight="1">
      <c r="B26" s="340" t="s">
        <v>90</v>
      </c>
      <c r="C26" s="324"/>
      <c r="D26" s="324"/>
      <c r="E26" s="324"/>
      <c r="F26" s="324"/>
    </row>
    <row r="27" spans="2:8" ht="15.75" customHeight="1">
      <c r="B27" s="27" t="s">
        <v>76</v>
      </c>
      <c r="C27" s="28" t="s">
        <v>91</v>
      </c>
      <c r="D27" s="29" t="s">
        <v>92</v>
      </c>
      <c r="E27" s="30" t="s">
        <v>93</v>
      </c>
      <c r="F27" s="338" t="s">
        <v>94</v>
      </c>
      <c r="G27" s="339"/>
    </row>
    <row r="28" spans="2:8" ht="27" customHeight="1">
      <c r="B28" s="31">
        <v>1</v>
      </c>
      <c r="C28" s="14" t="s">
        <v>95</v>
      </c>
      <c r="D28" s="32">
        <f>'9. Financial indiacators'!C49</f>
        <v>0.39258899853509999</v>
      </c>
      <c r="E28" s="31" t="s">
        <v>96</v>
      </c>
      <c r="F28" s="33" t="s">
        <v>97</v>
      </c>
      <c r="G28" s="31" t="s">
        <v>98</v>
      </c>
    </row>
    <row r="29" spans="2:8" ht="31.5" customHeight="1">
      <c r="B29" s="31">
        <v>2</v>
      </c>
      <c r="C29" s="14" t="s">
        <v>99</v>
      </c>
      <c r="D29" s="32">
        <f>'9. Financial indiacators'!C85</f>
        <v>0.19031454068881218</v>
      </c>
      <c r="E29" s="31" t="s">
        <v>96</v>
      </c>
      <c r="F29" s="33" t="s">
        <v>100</v>
      </c>
      <c r="G29" s="31" t="s">
        <v>101</v>
      </c>
    </row>
    <row r="30" spans="2:8" ht="44.1" customHeight="1">
      <c r="B30" s="31">
        <v>3</v>
      </c>
      <c r="C30" s="14" t="s">
        <v>102</v>
      </c>
      <c r="D30" s="32">
        <f>'9. Financial indiacators'!C16</f>
        <v>0.12226283354715008</v>
      </c>
      <c r="E30" s="31" t="s">
        <v>96</v>
      </c>
      <c r="F30" s="33" t="s">
        <v>103</v>
      </c>
      <c r="G30" s="31" t="s">
        <v>104</v>
      </c>
      <c r="H30" s="322"/>
    </row>
    <row r="31" spans="2:8" ht="57.95" customHeight="1">
      <c r="B31" s="31">
        <v>4</v>
      </c>
      <c r="C31" s="14" t="s">
        <v>105</v>
      </c>
      <c r="D31" s="34">
        <f>'9. Financial indiacators'!C73</f>
        <v>2134587.5877752304</v>
      </c>
      <c r="E31" s="31" t="s">
        <v>106</v>
      </c>
      <c r="F31" s="33" t="s">
        <v>107</v>
      </c>
      <c r="G31" s="31" t="s">
        <v>108</v>
      </c>
    </row>
    <row r="32" spans="2:8" ht="45.6" customHeight="1">
      <c r="B32" s="31">
        <v>5</v>
      </c>
      <c r="C32" s="14" t="s">
        <v>109</v>
      </c>
      <c r="D32" s="35">
        <f>'9. Financial indiacators'!D101</f>
        <v>4.9010865215169614</v>
      </c>
      <c r="E32" s="31" t="s">
        <v>96</v>
      </c>
      <c r="F32" s="33" t="s">
        <v>110</v>
      </c>
      <c r="G32" s="31" t="s">
        <v>111</v>
      </c>
    </row>
    <row r="33" spans="2:7" ht="45.95" customHeight="1">
      <c r="B33" s="31">
        <v>6</v>
      </c>
      <c r="C33" s="36" t="s">
        <v>112</v>
      </c>
      <c r="D33" s="35">
        <f>'9. Financial indiacators'!C119</f>
        <v>2.0812905322554562</v>
      </c>
      <c r="E33" s="37" t="s">
        <v>96</v>
      </c>
      <c r="F33" s="33" t="s">
        <v>113</v>
      </c>
      <c r="G33" s="36" t="s">
        <v>114</v>
      </c>
    </row>
    <row r="34" spans="2:7" ht="15.75" customHeight="1"/>
    <row r="35" spans="2:7" ht="15.75" customHeight="1"/>
    <row r="36" spans="2:7" ht="15.75" customHeight="1"/>
    <row r="37" spans="2:7" ht="15.75" customHeight="1"/>
    <row r="38" spans="2:7" ht="15.75" customHeight="1"/>
    <row r="39" spans="2:7" ht="15.75" customHeight="1"/>
    <row r="40" spans="2:7" ht="15.75" customHeight="1"/>
    <row r="41" spans="2:7" ht="15.75" customHeight="1"/>
    <row r="42" spans="2:7" ht="15.75" customHeight="1"/>
    <row r="43" spans="2:7" ht="15.75" customHeight="1"/>
    <row r="44" spans="2:7" ht="15.75" customHeight="1"/>
    <row r="45" spans="2:7" ht="15.75" customHeight="1"/>
    <row r="46" spans="2:7" ht="15.75" customHeight="1"/>
    <row r="47" spans="2:7" ht="15.75" customHeight="1"/>
    <row r="48" spans="2:7"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sheetData>
  <mergeCells count="8">
    <mergeCell ref="F27:G27"/>
    <mergeCell ref="B26:F26"/>
    <mergeCell ref="B12:C12"/>
    <mergeCell ref="B22:C22"/>
    <mergeCell ref="B2:F2"/>
    <mergeCell ref="B16:F16"/>
    <mergeCell ref="B24:F24"/>
    <mergeCell ref="A14:F14"/>
  </mergeCells>
  <conditionalFormatting sqref="D23">
    <cfRule type="cellIs" dxfId="3" priority="1" operator="greaterThan">
      <formula>0</formula>
    </cfRule>
  </conditionalFormatting>
  <pageMargins left="0.7" right="0.7" top="0.75" bottom="0.75" header="0" footer="0"/>
  <pageSetup scale="89" orientation="portrait" r:id="rId1"/>
</worksheet>
</file>

<file path=xl/worksheets/sheet3.xml><?xml version="1.0" encoding="utf-8"?>
<worksheet xmlns="http://schemas.openxmlformats.org/spreadsheetml/2006/main" xmlns:r="http://schemas.openxmlformats.org/officeDocument/2006/relationships">
  <dimension ref="A2:K117"/>
  <sheetViews>
    <sheetView view="pageBreakPreview" zoomScale="98" zoomScaleSheetLayoutView="98" workbookViewId="0">
      <selection activeCell="G1" sqref="G1"/>
    </sheetView>
  </sheetViews>
  <sheetFormatPr defaultColWidth="14.42578125" defaultRowHeight="15" customHeight="1"/>
  <cols>
    <col min="1" max="1" width="8.7109375" customWidth="1"/>
    <col min="2" max="2" width="7.5703125" customWidth="1"/>
    <col min="3" max="3" width="41.5703125" customWidth="1"/>
    <col min="4" max="4" width="9.7109375" customWidth="1"/>
    <col min="5" max="5" width="17" customWidth="1"/>
    <col min="6" max="6" width="14" customWidth="1"/>
    <col min="7" max="7" width="11.85546875" bestFit="1" customWidth="1"/>
    <col min="8" max="8" width="11.5703125" customWidth="1"/>
    <col min="9" max="11" width="8.7109375" customWidth="1"/>
  </cols>
  <sheetData>
    <row r="2" spans="1:7" ht="18.75">
      <c r="A2">
        <v>2.1</v>
      </c>
      <c r="B2" s="340" t="s">
        <v>115</v>
      </c>
      <c r="C2" s="324"/>
      <c r="D2" s="324"/>
      <c r="E2" s="324"/>
      <c r="F2" s="324"/>
      <c r="G2" s="324"/>
    </row>
    <row r="4" spans="1:7" ht="28.5">
      <c r="B4" s="38" t="s">
        <v>76</v>
      </c>
      <c r="C4" s="38" t="s">
        <v>77</v>
      </c>
      <c r="D4" s="38" t="s">
        <v>116</v>
      </c>
      <c r="E4" s="38" t="s">
        <v>117</v>
      </c>
      <c r="F4" s="38" t="s">
        <v>118</v>
      </c>
      <c r="G4" s="38" t="s">
        <v>78</v>
      </c>
    </row>
    <row r="5" spans="1:7">
      <c r="B5" s="39">
        <v>1</v>
      </c>
      <c r="C5" s="39" t="s">
        <v>119</v>
      </c>
      <c r="D5" s="39" t="s">
        <v>120</v>
      </c>
      <c r="E5" s="40"/>
      <c r="F5" s="41"/>
      <c r="G5" s="42" t="s">
        <v>121</v>
      </c>
    </row>
    <row r="6" spans="1:7">
      <c r="B6" s="39">
        <v>2</v>
      </c>
      <c r="C6" s="39" t="s">
        <v>687</v>
      </c>
      <c r="D6" s="43" t="s">
        <v>688</v>
      </c>
      <c r="E6" s="44">
        <v>1</v>
      </c>
      <c r="F6" s="45">
        <v>6260500</v>
      </c>
      <c r="G6" s="46">
        <f t="shared" ref="G6:G11" si="0">E6*F6</f>
        <v>6260500</v>
      </c>
    </row>
    <row r="7" spans="1:7" ht="30">
      <c r="B7" s="39">
        <v>3</v>
      </c>
      <c r="C7" s="39" t="s">
        <v>709</v>
      </c>
      <c r="D7" s="43" t="s">
        <v>713</v>
      </c>
      <c r="E7" s="44">
        <v>1</v>
      </c>
      <c r="F7" s="45">
        <v>8250000</v>
      </c>
      <c r="G7" s="46">
        <f t="shared" si="0"/>
        <v>8250000</v>
      </c>
    </row>
    <row r="8" spans="1:7">
      <c r="B8" s="39"/>
      <c r="C8" s="39"/>
      <c r="D8" s="43"/>
      <c r="E8" s="44"/>
      <c r="F8" s="45"/>
      <c r="G8" s="46">
        <f t="shared" si="0"/>
        <v>0</v>
      </c>
    </row>
    <row r="9" spans="1:7">
      <c r="B9" s="39"/>
      <c r="C9" s="39"/>
      <c r="D9" s="43"/>
      <c r="E9" s="44"/>
      <c r="F9" s="45"/>
      <c r="G9" s="46">
        <f t="shared" si="0"/>
        <v>0</v>
      </c>
    </row>
    <row r="10" spans="1:7">
      <c r="B10" s="39"/>
      <c r="C10" s="39"/>
      <c r="D10" s="43"/>
      <c r="E10" s="44"/>
      <c r="F10" s="45"/>
      <c r="G10" s="46">
        <f t="shared" si="0"/>
        <v>0</v>
      </c>
    </row>
    <row r="11" spans="1:7">
      <c r="B11" s="39"/>
      <c r="C11" s="39"/>
      <c r="D11" s="43"/>
      <c r="E11" s="44"/>
      <c r="F11" s="45"/>
      <c r="G11" s="46">
        <f t="shared" si="0"/>
        <v>0</v>
      </c>
    </row>
    <row r="12" spans="1:7">
      <c r="B12" s="348" t="s">
        <v>82</v>
      </c>
      <c r="C12" s="328"/>
      <c r="D12" s="328"/>
      <c r="E12" s="328"/>
      <c r="F12" s="329"/>
      <c r="G12" s="47">
        <f>SUM(G6:G11)</f>
        <v>14510500</v>
      </c>
    </row>
    <row r="15" spans="1:7">
      <c r="B15" s="342" t="s">
        <v>122</v>
      </c>
      <c r="C15" s="324"/>
      <c r="D15" s="324"/>
      <c r="E15" s="324"/>
      <c r="F15" s="324"/>
      <c r="G15" s="324"/>
    </row>
    <row r="17" spans="1:8" ht="18.75">
      <c r="A17">
        <v>2.2000000000000002</v>
      </c>
      <c r="B17" s="340" t="s">
        <v>123</v>
      </c>
      <c r="C17" s="324"/>
      <c r="D17" s="324"/>
      <c r="E17" s="324"/>
      <c r="F17" s="324"/>
      <c r="G17" s="324"/>
      <c r="H17" s="324"/>
    </row>
    <row r="18" spans="1:8">
      <c r="B18" s="48"/>
    </row>
    <row r="19" spans="1:8" ht="28.5">
      <c r="B19" s="38" t="s">
        <v>76</v>
      </c>
      <c r="C19" s="38" t="s">
        <v>9</v>
      </c>
      <c r="D19" s="38" t="s">
        <v>124</v>
      </c>
      <c r="E19" s="38" t="s">
        <v>125</v>
      </c>
      <c r="F19" s="38" t="s">
        <v>126</v>
      </c>
      <c r="G19" s="38" t="s">
        <v>78</v>
      </c>
      <c r="H19" s="38" t="s">
        <v>127</v>
      </c>
    </row>
    <row r="20" spans="1:8">
      <c r="B20" s="49"/>
      <c r="C20" s="50"/>
      <c r="D20" s="50"/>
      <c r="E20" s="50"/>
      <c r="F20" s="50"/>
      <c r="G20" s="51"/>
      <c r="H20" s="50"/>
    </row>
    <row r="21" spans="1:8" ht="15.75" customHeight="1">
      <c r="B21" s="52" t="s">
        <v>18</v>
      </c>
      <c r="C21" s="53" t="s">
        <v>689</v>
      </c>
      <c r="D21" s="53"/>
      <c r="E21" s="52"/>
      <c r="F21" s="54"/>
      <c r="G21" s="51">
        <f t="shared" ref="G21" si="1">E21*F21</f>
        <v>0</v>
      </c>
      <c r="H21" s="55"/>
    </row>
    <row r="22" spans="1:8" ht="15.75" customHeight="1">
      <c r="B22" s="52"/>
      <c r="C22" s="303" t="s">
        <v>716</v>
      </c>
      <c r="D22" s="53" t="s">
        <v>717</v>
      </c>
      <c r="E22" s="52">
        <v>1</v>
      </c>
      <c r="F22" s="305">
        <v>7229000</v>
      </c>
      <c r="G22" s="51">
        <f>(E22*F22)+F22*18%</f>
        <v>8530220</v>
      </c>
      <c r="H22" s="55">
        <v>215</v>
      </c>
    </row>
    <row r="23" spans="1:8" ht="15.75" customHeight="1">
      <c r="B23" s="52"/>
      <c r="C23" s="304"/>
      <c r="D23" s="53"/>
      <c r="E23" s="52"/>
      <c r="F23" s="305"/>
      <c r="G23" s="51"/>
      <c r="H23" s="55"/>
    </row>
    <row r="24" spans="1:8" ht="15.75" customHeight="1">
      <c r="B24" s="52"/>
      <c r="C24" s="303"/>
      <c r="D24" s="53"/>
      <c r="E24" s="52"/>
      <c r="F24" s="305"/>
      <c r="G24" s="51"/>
      <c r="H24" s="320"/>
    </row>
    <row r="25" spans="1:8" ht="15.75" customHeight="1">
      <c r="B25" s="52"/>
      <c r="C25" s="303"/>
      <c r="D25" s="53"/>
      <c r="E25" s="52"/>
      <c r="F25" s="305"/>
      <c r="G25" s="51"/>
      <c r="H25" s="55"/>
    </row>
    <row r="26" spans="1:8" ht="15.75" customHeight="1">
      <c r="B26" s="52"/>
      <c r="C26" s="303"/>
      <c r="D26" s="53"/>
      <c r="E26" s="52"/>
      <c r="F26" s="305"/>
      <c r="G26" s="51"/>
      <c r="H26" s="55"/>
    </row>
    <row r="27" spans="1:8" ht="15.75" customHeight="1">
      <c r="B27" s="52"/>
      <c r="C27" s="303"/>
      <c r="D27" s="53"/>
      <c r="E27" s="52"/>
      <c r="F27" s="305"/>
      <c r="G27" s="51"/>
      <c r="H27" s="55"/>
    </row>
    <row r="28" spans="1:8" ht="15.75" customHeight="1">
      <c r="B28" s="52"/>
      <c r="C28" s="303"/>
      <c r="D28" s="53"/>
      <c r="E28" s="52"/>
      <c r="F28" s="305"/>
      <c r="G28" s="51"/>
      <c r="H28" s="55"/>
    </row>
    <row r="29" spans="1:8" ht="15.75" customHeight="1">
      <c r="B29" s="52"/>
      <c r="C29" s="303"/>
      <c r="D29" s="52"/>
      <c r="E29" s="52"/>
      <c r="F29" s="305"/>
      <c r="G29" s="51"/>
      <c r="H29" s="55"/>
    </row>
    <row r="30" spans="1:8" ht="15.75" customHeight="1">
      <c r="B30" s="52"/>
      <c r="C30" s="303"/>
      <c r="D30" s="52"/>
      <c r="E30" s="52"/>
      <c r="F30" s="305"/>
      <c r="G30" s="51"/>
      <c r="H30" s="55"/>
    </row>
    <row r="31" spans="1:8" ht="15.75" customHeight="1">
      <c r="B31" s="52"/>
      <c r="C31" s="303"/>
      <c r="D31" s="52"/>
      <c r="E31" s="52"/>
      <c r="F31" s="305"/>
      <c r="G31" s="51"/>
      <c r="H31" s="55"/>
    </row>
    <row r="32" spans="1:8" ht="15.75" customHeight="1">
      <c r="B32" s="288"/>
      <c r="C32" s="307"/>
      <c r="D32" s="52"/>
      <c r="E32" s="52"/>
      <c r="F32" s="305"/>
      <c r="G32" s="51"/>
      <c r="H32" s="55"/>
    </row>
    <row r="33" spans="2:8" ht="15.75" customHeight="1">
      <c r="B33" s="353" t="s">
        <v>129</v>
      </c>
      <c r="C33" s="329"/>
      <c r="D33" s="52"/>
      <c r="E33" s="52"/>
      <c r="F33" s="56"/>
      <c r="G33" s="306">
        <f>SUM(G21:G31)</f>
        <v>8530220</v>
      </c>
      <c r="H33" s="51">
        <f>+SUM(H22:H24)</f>
        <v>215</v>
      </c>
    </row>
    <row r="34" spans="2:8" ht="15.75" customHeight="1">
      <c r="B34" s="52" t="s">
        <v>56</v>
      </c>
      <c r="C34" s="318" t="s">
        <v>710</v>
      </c>
      <c r="D34" s="49"/>
      <c r="E34" s="49"/>
      <c r="F34" s="51"/>
      <c r="G34" s="51"/>
      <c r="H34" s="50"/>
    </row>
    <row r="35" spans="2:8" ht="15.75" customHeight="1">
      <c r="B35" s="49"/>
      <c r="C35" s="303"/>
      <c r="D35" s="53"/>
      <c r="E35" s="52"/>
      <c r="F35" s="305"/>
      <c r="G35" s="51"/>
      <c r="H35" s="50"/>
    </row>
    <row r="36" spans="2:8" ht="15.75" customHeight="1">
      <c r="B36" s="49"/>
      <c r="C36" s="303"/>
      <c r="D36" s="53"/>
      <c r="E36" s="52"/>
      <c r="F36" s="305"/>
      <c r="G36" s="51"/>
      <c r="H36" s="50"/>
    </row>
    <row r="37" spans="2:8" ht="15.75" customHeight="1">
      <c r="B37" s="49"/>
      <c r="C37" s="303"/>
      <c r="D37" s="53"/>
      <c r="E37" s="52"/>
      <c r="F37" s="305"/>
      <c r="G37" s="51"/>
      <c r="H37" s="50"/>
    </row>
    <row r="38" spans="2:8" ht="15.75" customHeight="1">
      <c r="B38" s="49"/>
      <c r="C38" s="303"/>
      <c r="D38" s="53"/>
      <c r="E38" s="52"/>
      <c r="F38" s="305"/>
      <c r="G38" s="51"/>
      <c r="H38" s="50"/>
    </row>
    <row r="39" spans="2:8" ht="15.75" customHeight="1">
      <c r="B39" s="49"/>
      <c r="C39" s="303"/>
      <c r="D39" s="53"/>
      <c r="E39" s="52"/>
      <c r="F39" s="305"/>
      <c r="G39" s="51"/>
      <c r="H39" s="50"/>
    </row>
    <row r="40" spans="2:8" ht="15.75" customHeight="1">
      <c r="B40" s="49"/>
      <c r="C40" s="303"/>
      <c r="D40" s="52"/>
      <c r="E40" s="52"/>
      <c r="F40" s="305"/>
      <c r="G40" s="51"/>
      <c r="H40" s="50"/>
    </row>
    <row r="41" spans="2:8" ht="15.75" customHeight="1">
      <c r="B41" s="49"/>
      <c r="C41" s="303"/>
      <c r="D41" s="52"/>
      <c r="E41" s="52"/>
      <c r="F41" s="305"/>
      <c r="G41" s="51"/>
      <c r="H41" s="50"/>
    </row>
    <row r="42" spans="2:8" ht="15.75" customHeight="1">
      <c r="B42" s="49"/>
      <c r="C42" s="303"/>
      <c r="D42" s="52"/>
      <c r="E42" s="52"/>
      <c r="F42" s="305"/>
      <c r="G42" s="51"/>
      <c r="H42" s="50"/>
    </row>
    <row r="43" spans="2:8" ht="15.75" customHeight="1">
      <c r="B43" s="49"/>
      <c r="C43" s="43"/>
      <c r="D43" s="49"/>
      <c r="E43" s="49"/>
      <c r="F43" s="51"/>
      <c r="G43" s="51">
        <f t="shared" ref="G43:G47" si="2">F43</f>
        <v>0</v>
      </c>
      <c r="H43" s="50"/>
    </row>
    <row r="44" spans="2:8" ht="15.75" customHeight="1">
      <c r="B44" s="49"/>
      <c r="C44" s="43"/>
      <c r="D44" s="49"/>
      <c r="E44" s="49"/>
      <c r="F44" s="51"/>
      <c r="G44" s="51">
        <f t="shared" si="2"/>
        <v>0</v>
      </c>
      <c r="H44" s="50"/>
    </row>
    <row r="45" spans="2:8" ht="15.75" customHeight="1">
      <c r="B45" s="49"/>
      <c r="C45" s="43"/>
      <c r="D45" s="49"/>
      <c r="E45" s="49"/>
      <c r="F45" s="51"/>
      <c r="G45" s="51">
        <f t="shared" si="2"/>
        <v>0</v>
      </c>
      <c r="H45" s="50"/>
    </row>
    <row r="46" spans="2:8" ht="15.75" customHeight="1">
      <c r="B46" s="49"/>
      <c r="C46" s="43"/>
      <c r="D46" s="49"/>
      <c r="E46" s="49"/>
      <c r="F46" s="51"/>
      <c r="G46" s="51">
        <f t="shared" si="2"/>
        <v>0</v>
      </c>
      <c r="H46" s="50"/>
    </row>
    <row r="47" spans="2:8" ht="15.75" customHeight="1">
      <c r="B47" s="49"/>
      <c r="C47" s="43"/>
      <c r="D47" s="49"/>
      <c r="E47" s="49"/>
      <c r="F47" s="51"/>
      <c r="G47" s="51">
        <f t="shared" si="2"/>
        <v>0</v>
      </c>
      <c r="H47" s="50"/>
    </row>
    <row r="48" spans="2:8" ht="15.75" customHeight="1">
      <c r="B48" s="353" t="s">
        <v>129</v>
      </c>
      <c r="C48" s="329"/>
      <c r="D48" s="52"/>
      <c r="E48" s="52"/>
      <c r="F48" s="56"/>
      <c r="G48" s="56">
        <f>SUM(G35:G47)</f>
        <v>0</v>
      </c>
      <c r="H48" s="56">
        <f>SUM(H35:H47)</f>
        <v>0</v>
      </c>
    </row>
    <row r="49" spans="2:8" ht="15.75" customHeight="1">
      <c r="B49" s="49"/>
      <c r="C49" s="43"/>
      <c r="D49" s="49"/>
      <c r="E49" s="49"/>
      <c r="F49" s="51"/>
      <c r="G49" s="51"/>
      <c r="H49" s="50"/>
    </row>
    <row r="50" spans="2:8" ht="15.75" customHeight="1">
      <c r="B50" s="52" t="s">
        <v>130</v>
      </c>
      <c r="C50" s="318" t="s">
        <v>128</v>
      </c>
      <c r="D50" s="49"/>
      <c r="E50" s="49"/>
      <c r="F50" s="51"/>
      <c r="G50" s="51">
        <f t="shared" ref="G50:G55" si="3">E50*F50</f>
        <v>0</v>
      </c>
      <c r="H50" s="50"/>
    </row>
    <row r="51" spans="2:8" ht="15.75" customHeight="1">
      <c r="B51" s="52"/>
      <c r="C51" s="53"/>
      <c r="D51" s="49"/>
      <c r="E51" s="49"/>
      <c r="F51" s="51"/>
      <c r="G51" s="51">
        <f t="shared" si="3"/>
        <v>0</v>
      </c>
      <c r="H51" s="50"/>
    </row>
    <row r="52" spans="2:8" ht="15.75" customHeight="1">
      <c r="B52" s="52"/>
      <c r="C52" s="53"/>
      <c r="D52" s="43"/>
      <c r="E52" s="49"/>
      <c r="F52" s="51"/>
      <c r="G52" s="51">
        <f t="shared" si="3"/>
        <v>0</v>
      </c>
      <c r="H52" s="50"/>
    </row>
    <row r="53" spans="2:8" ht="15.75" customHeight="1">
      <c r="B53" s="52"/>
      <c r="C53" s="53"/>
      <c r="D53" s="43"/>
      <c r="E53" s="49"/>
      <c r="F53" s="51"/>
      <c r="G53" s="51">
        <f t="shared" si="3"/>
        <v>0</v>
      </c>
      <c r="H53" s="50"/>
    </row>
    <row r="54" spans="2:8" ht="15.75" customHeight="1">
      <c r="B54" s="52"/>
      <c r="C54" s="53"/>
      <c r="D54" s="43"/>
      <c r="E54" s="49"/>
      <c r="F54" s="51"/>
      <c r="G54" s="51">
        <f t="shared" si="3"/>
        <v>0</v>
      </c>
      <c r="H54" s="50"/>
    </row>
    <row r="55" spans="2:8" ht="15.75" customHeight="1">
      <c r="B55" s="52"/>
      <c r="C55" s="53"/>
      <c r="D55" s="43"/>
      <c r="E55" s="49"/>
      <c r="F55" s="51"/>
      <c r="G55" s="51">
        <f t="shared" si="3"/>
        <v>0</v>
      </c>
      <c r="H55" s="50"/>
    </row>
    <row r="56" spans="2:8" ht="15.75" customHeight="1">
      <c r="B56" s="353" t="s">
        <v>129</v>
      </c>
      <c r="C56" s="329"/>
      <c r="D56" s="43"/>
      <c r="E56" s="49"/>
      <c r="F56" s="51"/>
      <c r="G56" s="51">
        <f t="shared" ref="G56:H56" si="4">SUM(G50:G55)</f>
        <v>0</v>
      </c>
      <c r="H56" s="51">
        <f t="shared" si="4"/>
        <v>0</v>
      </c>
    </row>
    <row r="57" spans="2:8" ht="15.75" customHeight="1">
      <c r="B57" s="52"/>
      <c r="C57" s="52"/>
      <c r="D57" s="43"/>
      <c r="E57" s="49"/>
      <c r="F57" s="51"/>
      <c r="G57" s="51"/>
      <c r="H57" s="51"/>
    </row>
    <row r="58" spans="2:8" ht="15.75" customHeight="1">
      <c r="B58" s="52" t="s">
        <v>132</v>
      </c>
      <c r="C58" s="308" t="s">
        <v>690</v>
      </c>
      <c r="D58" s="43"/>
      <c r="E58" s="49"/>
      <c r="F58" s="51"/>
      <c r="G58" s="51">
        <f t="shared" ref="G58:G60" si="5">E58*F58</f>
        <v>0</v>
      </c>
      <c r="H58" s="51"/>
    </row>
    <row r="59" spans="2:8" ht="15.75" customHeight="1">
      <c r="B59" s="52"/>
      <c r="C59" s="319" t="s">
        <v>714</v>
      </c>
      <c r="D59" s="43" t="s">
        <v>718</v>
      </c>
      <c r="E59" s="49">
        <v>1</v>
      </c>
      <c r="F59" s="51">
        <v>297000</v>
      </c>
      <c r="G59" s="51">
        <f>(E59*F59)+F59*18%</f>
        <v>350460</v>
      </c>
      <c r="H59" s="51"/>
    </row>
    <row r="60" spans="2:8" ht="15.75" customHeight="1">
      <c r="B60" s="52"/>
      <c r="C60" s="53"/>
      <c r="D60" s="43"/>
      <c r="E60" s="49"/>
      <c r="F60" s="51"/>
      <c r="G60" s="51">
        <f t="shared" si="5"/>
        <v>0</v>
      </c>
      <c r="H60" s="50"/>
    </row>
    <row r="61" spans="2:8" ht="15.75" customHeight="1">
      <c r="B61" s="353" t="s">
        <v>129</v>
      </c>
      <c r="C61" s="329"/>
      <c r="D61" s="43"/>
      <c r="E61" s="49"/>
      <c r="F61" s="51"/>
      <c r="G61" s="306">
        <f>SUM(G58:G60)</f>
        <v>350460</v>
      </c>
      <c r="H61" s="51"/>
    </row>
    <row r="62" spans="2:8" ht="15.75" customHeight="1">
      <c r="B62" s="49"/>
      <c r="C62" s="43"/>
      <c r="D62" s="43"/>
      <c r="E62" s="49"/>
      <c r="F62" s="51"/>
      <c r="G62" s="51"/>
      <c r="H62" s="50"/>
    </row>
    <row r="63" spans="2:8" ht="15.75" customHeight="1">
      <c r="B63" s="348" t="s">
        <v>82</v>
      </c>
      <c r="C63" s="328"/>
      <c r="D63" s="328"/>
      <c r="E63" s="328"/>
      <c r="F63" s="329"/>
      <c r="G63" s="47">
        <f>G56+G48+G33+G61</f>
        <v>8880680</v>
      </c>
      <c r="H63" s="47">
        <f>H48+H33+H56+H61</f>
        <v>215</v>
      </c>
    </row>
    <row r="64" spans="2:8" ht="15.75" customHeight="1">
      <c r="B64" s="48"/>
      <c r="G64" s="57"/>
    </row>
    <row r="65" spans="1:11" ht="15.75" customHeight="1">
      <c r="B65" s="342" t="s">
        <v>133</v>
      </c>
      <c r="C65" s="324"/>
      <c r="D65" s="324"/>
      <c r="E65" s="324"/>
      <c r="F65" s="324"/>
      <c r="G65" s="324"/>
      <c r="H65" s="324"/>
    </row>
    <row r="66" spans="1:11" ht="15.75" customHeight="1">
      <c r="B66" s="48"/>
      <c r="G66" s="57"/>
      <c r="I66" s="48"/>
      <c r="J66" s="48"/>
      <c r="K66" s="57"/>
    </row>
    <row r="67" spans="1:11" ht="15.75" customHeight="1"/>
    <row r="68" spans="1:11" ht="15.75" customHeight="1"/>
    <row r="69" spans="1:11" ht="15.75" customHeight="1">
      <c r="A69">
        <v>2.2999999999999998</v>
      </c>
      <c r="B69" s="340" t="s">
        <v>134</v>
      </c>
      <c r="C69" s="324"/>
      <c r="D69" s="324"/>
      <c r="E69" s="324"/>
      <c r="F69" s="324"/>
    </row>
    <row r="70" spans="1:11" ht="15.75" customHeight="1"/>
    <row r="71" spans="1:11" ht="32.1" customHeight="1">
      <c r="B71" s="58" t="s">
        <v>76</v>
      </c>
      <c r="C71" s="59" t="s">
        <v>77</v>
      </c>
      <c r="D71" s="59" t="s">
        <v>125</v>
      </c>
      <c r="E71" s="59" t="s">
        <v>126</v>
      </c>
      <c r="F71" s="59" t="s">
        <v>78</v>
      </c>
    </row>
    <row r="72" spans="1:11" ht="15.75" customHeight="1">
      <c r="B72" s="60">
        <v>1</v>
      </c>
      <c r="C72" s="316" t="s">
        <v>407</v>
      </c>
      <c r="D72" s="60">
        <v>1</v>
      </c>
      <c r="E72" s="62">
        <v>150000</v>
      </c>
      <c r="F72" s="63">
        <f t="shared" ref="F72:F77" si="6">D72*E72</f>
        <v>150000</v>
      </c>
    </row>
    <row r="73" spans="1:11" ht="15.75" customHeight="1">
      <c r="B73" s="60"/>
      <c r="C73" s="61"/>
      <c r="D73" s="60"/>
      <c r="E73" s="62"/>
      <c r="F73" s="63">
        <f t="shared" si="6"/>
        <v>0</v>
      </c>
    </row>
    <row r="74" spans="1:11" ht="15.75" customHeight="1">
      <c r="B74" s="60"/>
      <c r="C74" s="61"/>
      <c r="D74" s="60"/>
      <c r="E74" s="62"/>
      <c r="F74" s="63">
        <f t="shared" si="6"/>
        <v>0</v>
      </c>
    </row>
    <row r="75" spans="1:11" ht="15.75" customHeight="1">
      <c r="B75" s="60"/>
      <c r="C75" s="61"/>
      <c r="D75" s="60"/>
      <c r="E75" s="62"/>
      <c r="F75" s="63">
        <f t="shared" si="6"/>
        <v>0</v>
      </c>
    </row>
    <row r="76" spans="1:11" ht="15.75" customHeight="1">
      <c r="B76" s="60"/>
      <c r="C76" s="61"/>
      <c r="D76" s="60"/>
      <c r="E76" s="62"/>
      <c r="F76" s="63">
        <f t="shared" si="6"/>
        <v>0</v>
      </c>
    </row>
    <row r="77" spans="1:11" ht="15.75" customHeight="1">
      <c r="B77" s="60"/>
      <c r="C77" s="61"/>
      <c r="D77" s="60"/>
      <c r="E77" s="62"/>
      <c r="F77" s="63">
        <f t="shared" si="6"/>
        <v>0</v>
      </c>
    </row>
    <row r="78" spans="1:11" ht="15.75" customHeight="1">
      <c r="B78" s="352" t="s">
        <v>82</v>
      </c>
      <c r="C78" s="328"/>
      <c r="D78" s="328"/>
      <c r="E78" s="329"/>
      <c r="F78" s="64">
        <f>SUM(F72:F77)</f>
        <v>150000</v>
      </c>
    </row>
    <row r="79" spans="1:11" ht="15.75" customHeight="1"/>
    <row r="80" spans="1:11" ht="15.75" customHeight="1">
      <c r="A80" s="342" t="s">
        <v>135</v>
      </c>
      <c r="B80" s="324"/>
      <c r="C80" s="324"/>
      <c r="D80" s="324"/>
      <c r="E80" s="324"/>
      <c r="F80" s="324"/>
      <c r="G80" s="324"/>
    </row>
    <row r="81" spans="1:7" ht="15.75" customHeight="1"/>
    <row r="82" spans="1:7" ht="15.75" customHeight="1"/>
    <row r="83" spans="1:7" ht="15.75" customHeight="1">
      <c r="A83">
        <v>2.4</v>
      </c>
      <c r="B83" s="340" t="s">
        <v>136</v>
      </c>
      <c r="C83" s="324"/>
      <c r="D83" s="324"/>
      <c r="E83" s="324"/>
      <c r="F83" s="324"/>
    </row>
    <row r="84" spans="1:7" ht="15.75" customHeight="1"/>
    <row r="85" spans="1:7" ht="29.1" customHeight="1">
      <c r="B85" s="58" t="s">
        <v>76</v>
      </c>
      <c r="C85" s="59" t="s">
        <v>77</v>
      </c>
      <c r="D85" s="59" t="s">
        <v>125</v>
      </c>
      <c r="E85" s="59" t="s">
        <v>126</v>
      </c>
      <c r="F85" s="59" t="s">
        <v>78</v>
      </c>
    </row>
    <row r="86" spans="1:7" ht="15.75" customHeight="1">
      <c r="B86" s="60">
        <v>1</v>
      </c>
      <c r="C86" s="316" t="s">
        <v>697</v>
      </c>
      <c r="D86" s="60">
        <v>3</v>
      </c>
      <c r="E86" s="62">
        <v>33100</v>
      </c>
      <c r="F86" s="63">
        <f t="shared" ref="F86:F91" si="7">D86*E86</f>
        <v>99300</v>
      </c>
    </row>
    <row r="87" spans="1:7" ht="15.75" customHeight="1">
      <c r="B87" s="60">
        <v>2</v>
      </c>
      <c r="C87" s="316" t="s">
        <v>698</v>
      </c>
      <c r="D87" s="60">
        <v>2</v>
      </c>
      <c r="E87" s="62">
        <v>15500</v>
      </c>
      <c r="F87" s="63">
        <f t="shared" si="7"/>
        <v>31000</v>
      </c>
    </row>
    <row r="88" spans="1:7" ht="15.75" customHeight="1">
      <c r="B88" s="60">
        <v>3</v>
      </c>
      <c r="C88" s="316" t="s">
        <v>699</v>
      </c>
      <c r="D88" s="60">
        <v>1</v>
      </c>
      <c r="E88" s="62">
        <v>5000</v>
      </c>
      <c r="F88" s="63">
        <f t="shared" si="7"/>
        <v>5000</v>
      </c>
    </row>
    <row r="89" spans="1:7" ht="15.75" customHeight="1">
      <c r="B89" s="60"/>
      <c r="C89" s="61"/>
      <c r="D89" s="60"/>
      <c r="E89" s="62"/>
      <c r="F89" s="63">
        <f t="shared" si="7"/>
        <v>0</v>
      </c>
    </row>
    <row r="90" spans="1:7" ht="15.75" customHeight="1">
      <c r="B90" s="60"/>
      <c r="C90" s="61"/>
      <c r="D90" s="60"/>
      <c r="E90" s="62"/>
      <c r="F90" s="63">
        <f t="shared" si="7"/>
        <v>0</v>
      </c>
    </row>
    <row r="91" spans="1:7" ht="15.75" customHeight="1">
      <c r="B91" s="60"/>
      <c r="C91" s="61"/>
      <c r="D91" s="60"/>
      <c r="E91" s="62"/>
      <c r="F91" s="63">
        <f t="shared" si="7"/>
        <v>0</v>
      </c>
    </row>
    <row r="92" spans="1:7" ht="15.75" customHeight="1">
      <c r="B92" s="352" t="s">
        <v>82</v>
      </c>
      <c r="C92" s="328"/>
      <c r="D92" s="328"/>
      <c r="E92" s="329"/>
      <c r="F92" s="64">
        <f>SUM(F86:F91)</f>
        <v>135300</v>
      </c>
    </row>
    <row r="93" spans="1:7" ht="15.75" customHeight="1"/>
    <row r="94" spans="1:7" ht="15.75" customHeight="1">
      <c r="A94" s="342" t="s">
        <v>135</v>
      </c>
      <c r="B94" s="324"/>
      <c r="C94" s="324"/>
      <c r="D94" s="324"/>
      <c r="E94" s="324"/>
      <c r="F94" s="324"/>
      <c r="G94" s="324"/>
    </row>
    <row r="95" spans="1:7" ht="15.75" customHeight="1"/>
    <row r="96" spans="1:7" ht="15.75" customHeight="1"/>
    <row r="97" spans="1:7" ht="15.75" customHeight="1">
      <c r="A97">
        <v>2.5</v>
      </c>
      <c r="B97" s="347" t="s">
        <v>701</v>
      </c>
      <c r="C97" s="324"/>
      <c r="D97" s="324"/>
      <c r="E97" s="324"/>
      <c r="F97" s="324"/>
    </row>
    <row r="98" spans="1:7" ht="15.75" customHeight="1"/>
    <row r="99" spans="1:7" ht="27" customHeight="1">
      <c r="B99" s="65" t="s">
        <v>76</v>
      </c>
      <c r="C99" s="38" t="s">
        <v>77</v>
      </c>
      <c r="D99" s="38" t="s">
        <v>125</v>
      </c>
      <c r="E99" s="38" t="s">
        <v>126</v>
      </c>
      <c r="F99" s="38" t="s">
        <v>78</v>
      </c>
    </row>
    <row r="100" spans="1:7" ht="15.75" customHeight="1">
      <c r="B100" s="49">
        <v>1</v>
      </c>
      <c r="C100" s="43"/>
      <c r="D100" s="49"/>
      <c r="E100" s="66"/>
      <c r="F100" s="51">
        <f t="shared" ref="F100:F102" si="8">E100*D100</f>
        <v>0</v>
      </c>
    </row>
    <row r="101" spans="1:7" ht="15.75" customHeight="1">
      <c r="B101" s="49"/>
      <c r="C101" s="43"/>
      <c r="D101" s="49"/>
      <c r="E101" s="66"/>
      <c r="F101" s="51">
        <f t="shared" si="8"/>
        <v>0</v>
      </c>
    </row>
    <row r="102" spans="1:7" ht="15.75" customHeight="1">
      <c r="B102" s="49"/>
      <c r="C102" s="43"/>
      <c r="D102" s="49"/>
      <c r="E102" s="66"/>
      <c r="F102" s="51">
        <f t="shared" si="8"/>
        <v>0</v>
      </c>
    </row>
    <row r="103" spans="1:7" ht="15.75" customHeight="1">
      <c r="B103" s="348" t="s">
        <v>82</v>
      </c>
      <c r="C103" s="328"/>
      <c r="D103" s="328"/>
      <c r="E103" s="329"/>
      <c r="F103" s="47">
        <f>SUM(F100:F102)</f>
        <v>0</v>
      </c>
    </row>
    <row r="104" spans="1:7" ht="15.75" customHeight="1">
      <c r="A104" s="349" t="s">
        <v>137</v>
      </c>
      <c r="B104" s="350"/>
      <c r="C104" s="350"/>
      <c r="D104" s="350"/>
      <c r="E104" s="350"/>
      <c r="F104" s="350"/>
      <c r="G104" s="351"/>
    </row>
    <row r="105" spans="1:7" ht="15.75" customHeight="1"/>
    <row r="106" spans="1:7" ht="15.75" customHeight="1"/>
    <row r="107" spans="1:7" ht="15.75" customHeight="1">
      <c r="A107">
        <v>2.6</v>
      </c>
      <c r="B107" s="340" t="s">
        <v>138</v>
      </c>
      <c r="C107" s="324"/>
      <c r="D107" s="324"/>
    </row>
    <row r="108" spans="1:7" ht="15.75" customHeight="1"/>
    <row r="109" spans="1:7" ht="24.95" customHeight="1">
      <c r="B109" s="67" t="s">
        <v>76</v>
      </c>
      <c r="C109" s="68" t="s">
        <v>77</v>
      </c>
      <c r="D109" s="68" t="s">
        <v>139</v>
      </c>
    </row>
    <row r="110" spans="1:7" ht="15.75" customHeight="1">
      <c r="B110" s="69">
        <v>1</v>
      </c>
      <c r="C110" s="317" t="s">
        <v>700</v>
      </c>
      <c r="D110" s="71">
        <v>500000</v>
      </c>
    </row>
    <row r="111" spans="1:7" ht="15.75" customHeight="1">
      <c r="B111" s="69"/>
      <c r="C111" s="70"/>
      <c r="D111" s="71"/>
    </row>
    <row r="112" spans="1:7" ht="15.75" customHeight="1">
      <c r="B112" s="69"/>
      <c r="C112" s="70"/>
      <c r="D112" s="71"/>
    </row>
    <row r="113" spans="1:5" ht="15.75" customHeight="1">
      <c r="B113" s="69"/>
      <c r="C113" s="70"/>
      <c r="D113" s="71"/>
    </row>
    <row r="114" spans="1:5" ht="15.75" customHeight="1">
      <c r="B114" s="69"/>
      <c r="C114" s="70"/>
      <c r="D114" s="71"/>
    </row>
    <row r="115" spans="1:5" ht="15.75" customHeight="1">
      <c r="B115" s="344" t="s">
        <v>82</v>
      </c>
      <c r="C115" s="345"/>
      <c r="D115" s="72">
        <f>SUM(D110:D114)</f>
        <v>500000</v>
      </c>
    </row>
    <row r="116" spans="1:5" ht="15.75" customHeight="1"/>
    <row r="117" spans="1:5" ht="25.5" customHeight="1">
      <c r="A117" s="346" t="s">
        <v>140</v>
      </c>
      <c r="B117" s="324"/>
      <c r="C117" s="324"/>
      <c r="D117" s="324"/>
      <c r="E117" s="324"/>
    </row>
  </sheetData>
  <mergeCells count="22">
    <mergeCell ref="B12:F12"/>
    <mergeCell ref="B2:G2"/>
    <mergeCell ref="B15:G15"/>
    <mergeCell ref="B65:H65"/>
    <mergeCell ref="B63:F63"/>
    <mergeCell ref="B17:H17"/>
    <mergeCell ref="B33:C33"/>
    <mergeCell ref="B48:C48"/>
    <mergeCell ref="B56:C56"/>
    <mergeCell ref="B61:C61"/>
    <mergeCell ref="B78:E78"/>
    <mergeCell ref="B69:F69"/>
    <mergeCell ref="A80:G80"/>
    <mergeCell ref="B92:E92"/>
    <mergeCell ref="B83:F83"/>
    <mergeCell ref="B115:C115"/>
    <mergeCell ref="A117:E117"/>
    <mergeCell ref="A94:G94"/>
    <mergeCell ref="B97:F97"/>
    <mergeCell ref="B107:D107"/>
    <mergeCell ref="B103:E103"/>
    <mergeCell ref="A104:G104"/>
  </mergeCells>
  <pageMargins left="0.7" right="0.7" top="0.75" bottom="0.75" header="0" footer="0"/>
  <pageSetup scale="66" orientation="portrait" r:id="rId1"/>
  <rowBreaks count="1" manualBreakCount="1">
    <brk id="57" max="7" man="1"/>
  </rowBreaks>
</worksheet>
</file>

<file path=xl/worksheets/sheet4.xml><?xml version="1.0" encoding="utf-8"?>
<worksheet xmlns="http://schemas.openxmlformats.org/spreadsheetml/2006/main" xmlns:r="http://schemas.openxmlformats.org/officeDocument/2006/relationships">
  <dimension ref="A2:Q104"/>
  <sheetViews>
    <sheetView topLeftCell="A86" workbookViewId="0">
      <selection activeCell="B98" sqref="B98"/>
    </sheetView>
  </sheetViews>
  <sheetFormatPr defaultColWidth="14.42578125" defaultRowHeight="15" customHeight="1"/>
  <cols>
    <col min="1" max="1" width="41.28515625" customWidth="1"/>
    <col min="2" max="2" width="14.5703125" customWidth="1"/>
    <col min="3" max="3" width="13.28515625" customWidth="1"/>
    <col min="4" max="4" width="13.42578125" customWidth="1"/>
    <col min="5" max="5" width="14.85546875" customWidth="1"/>
    <col min="6" max="7" width="14.7109375" customWidth="1"/>
    <col min="8" max="9" width="14.85546875" customWidth="1"/>
    <col min="10" max="10" width="14.7109375" customWidth="1"/>
    <col min="11" max="11" width="14.85546875" customWidth="1"/>
    <col min="12" max="15" width="12.140625" bestFit="1" customWidth="1"/>
    <col min="16" max="16" width="10.5703125" bestFit="1" customWidth="1"/>
    <col min="17" max="17" width="12.140625" bestFit="1" customWidth="1"/>
  </cols>
  <sheetData>
    <row r="2" spans="1:11" ht="18.75">
      <c r="A2" s="340" t="s">
        <v>141</v>
      </c>
      <c r="B2" s="324"/>
      <c r="C2" s="324"/>
      <c r="D2" s="324"/>
      <c r="E2" s="324"/>
      <c r="F2" s="324"/>
      <c r="G2" s="324"/>
      <c r="H2" s="324"/>
      <c r="I2" s="324"/>
      <c r="J2" s="324"/>
      <c r="K2" s="324"/>
    </row>
    <row r="4" spans="1:11">
      <c r="A4" s="73"/>
      <c r="B4" s="73"/>
      <c r="C4" s="73"/>
      <c r="D4" s="73"/>
      <c r="E4" s="74">
        <v>1</v>
      </c>
      <c r="F4" s="75">
        <f>(E4*5%)+E4</f>
        <v>1.05</v>
      </c>
      <c r="G4" s="75">
        <f>(F4*7.5%)+F4</f>
        <v>1.1287500000000001</v>
      </c>
      <c r="H4" s="75">
        <f>(G4*10%)+G4</f>
        <v>1.2416250000000002</v>
      </c>
      <c r="I4" s="75">
        <f>(H4*12.5%)+H4</f>
        <v>1.3968281250000003</v>
      </c>
      <c r="J4" s="75">
        <f>(I4*15%)+I4</f>
        <v>1.6063523437500002</v>
      </c>
      <c r="K4" s="75">
        <f>(J4*17.5%)+J4</f>
        <v>1.8874640039062502</v>
      </c>
    </row>
    <row r="5" spans="1:11">
      <c r="A5" s="73"/>
      <c r="B5" s="73"/>
      <c r="C5" s="73"/>
      <c r="D5" s="73"/>
      <c r="E5" s="73"/>
      <c r="F5" s="73"/>
      <c r="G5" s="73"/>
      <c r="H5" s="73"/>
      <c r="I5" s="73"/>
      <c r="J5" s="73"/>
      <c r="K5" s="73"/>
    </row>
    <row r="6" spans="1:11">
      <c r="A6" s="76" t="s">
        <v>142</v>
      </c>
      <c r="B6" s="76" t="s">
        <v>116</v>
      </c>
      <c r="C6" s="76" t="s">
        <v>143</v>
      </c>
      <c r="D6" s="76" t="s">
        <v>144</v>
      </c>
      <c r="E6" s="77" t="s">
        <v>145</v>
      </c>
      <c r="F6" s="77" t="s">
        <v>146</v>
      </c>
      <c r="G6" s="77" t="s">
        <v>147</v>
      </c>
      <c r="H6" s="77" t="s">
        <v>148</v>
      </c>
      <c r="I6" s="77" t="s">
        <v>149</v>
      </c>
      <c r="J6" s="77" t="s">
        <v>150</v>
      </c>
      <c r="K6" s="77" t="s">
        <v>151</v>
      </c>
    </row>
    <row r="7" spans="1:11">
      <c r="A7" s="78"/>
      <c r="B7" s="78"/>
      <c r="C7" s="78"/>
      <c r="D7" s="78"/>
      <c r="E7" s="78"/>
      <c r="F7" s="78"/>
      <c r="G7" s="78"/>
      <c r="H7" s="78"/>
      <c r="I7" s="78"/>
      <c r="J7" s="78"/>
      <c r="K7" s="78"/>
    </row>
    <row r="8" spans="1:11">
      <c r="A8" s="78" t="s">
        <v>152</v>
      </c>
      <c r="B8" s="78" t="s">
        <v>153</v>
      </c>
      <c r="C8" s="50">
        <v>1</v>
      </c>
      <c r="D8" s="79">
        <v>25000</v>
      </c>
      <c r="E8" s="80">
        <f t="shared" ref="E8:K8" si="0">$C8*$D8*12*E$4</f>
        <v>300000</v>
      </c>
      <c r="F8" s="80">
        <f>$C8*$D8*12*F$4</f>
        <v>315000</v>
      </c>
      <c r="G8" s="80">
        <f t="shared" si="0"/>
        <v>338625.00000000006</v>
      </c>
      <c r="H8" s="80">
        <f t="shared" si="0"/>
        <v>372487.50000000006</v>
      </c>
      <c r="I8" s="80">
        <f t="shared" si="0"/>
        <v>419048.43750000012</v>
      </c>
      <c r="J8" s="80">
        <f t="shared" si="0"/>
        <v>481905.70312500006</v>
      </c>
      <c r="K8" s="80">
        <f t="shared" si="0"/>
        <v>566239.20117187512</v>
      </c>
    </row>
    <row r="9" spans="1:11">
      <c r="A9" s="78" t="s">
        <v>154</v>
      </c>
      <c r="B9" s="78" t="s">
        <v>153</v>
      </c>
      <c r="C9" s="50">
        <v>1</v>
      </c>
      <c r="D9" s="79">
        <v>15000</v>
      </c>
      <c r="E9" s="80">
        <f t="shared" ref="E9:K9" si="1">$C9*$D9*12*E$4</f>
        <v>180000</v>
      </c>
      <c r="F9" s="80">
        <f t="shared" si="1"/>
        <v>189000</v>
      </c>
      <c r="G9" s="80">
        <f t="shared" si="1"/>
        <v>203175.00000000003</v>
      </c>
      <c r="H9" s="80">
        <f t="shared" si="1"/>
        <v>223492.50000000003</v>
      </c>
      <c r="I9" s="80">
        <f t="shared" si="1"/>
        <v>251429.06250000006</v>
      </c>
      <c r="J9" s="80">
        <f t="shared" si="1"/>
        <v>289143.42187500006</v>
      </c>
      <c r="K9" s="80">
        <f t="shared" si="1"/>
        <v>339743.52070312505</v>
      </c>
    </row>
    <row r="10" spans="1:11">
      <c r="A10" s="78" t="s">
        <v>155</v>
      </c>
      <c r="B10" s="78" t="s">
        <v>153</v>
      </c>
      <c r="C10" s="50">
        <v>2</v>
      </c>
      <c r="D10" s="79">
        <v>10000</v>
      </c>
      <c r="E10" s="80">
        <f t="shared" ref="E10:K10" si="2">$C10*$D10*12*E$4</f>
        <v>240000</v>
      </c>
      <c r="F10" s="80">
        <f>$C10*$D10*12*F$4</f>
        <v>252000</v>
      </c>
      <c r="G10" s="80">
        <f t="shared" si="2"/>
        <v>270900.00000000006</v>
      </c>
      <c r="H10" s="80">
        <f t="shared" si="2"/>
        <v>297990.00000000006</v>
      </c>
      <c r="I10" s="80">
        <f t="shared" si="2"/>
        <v>335238.75000000006</v>
      </c>
      <c r="J10" s="80">
        <f t="shared" si="2"/>
        <v>385524.56250000006</v>
      </c>
      <c r="K10" s="80">
        <f t="shared" si="2"/>
        <v>452991.36093750008</v>
      </c>
    </row>
    <row r="11" spans="1:11">
      <c r="A11" s="78" t="s">
        <v>156</v>
      </c>
      <c r="B11" s="78" t="s">
        <v>157</v>
      </c>
      <c r="C11" s="78">
        <v>12</v>
      </c>
      <c r="D11" s="79">
        <v>1000</v>
      </c>
      <c r="E11" s="80">
        <f t="shared" ref="E11:K11" si="3">$C11*$D11*E$4</f>
        <v>12000</v>
      </c>
      <c r="F11" s="80">
        <f>$C11*$D11*F$4</f>
        <v>12600</v>
      </c>
      <c r="G11" s="80">
        <f t="shared" si="3"/>
        <v>13545.000000000002</v>
      </c>
      <c r="H11" s="80">
        <f t="shared" si="3"/>
        <v>14899.500000000002</v>
      </c>
      <c r="I11" s="80">
        <f t="shared" si="3"/>
        <v>16761.937500000004</v>
      </c>
      <c r="J11" s="80">
        <f t="shared" si="3"/>
        <v>19276.228125000001</v>
      </c>
      <c r="K11" s="80">
        <f t="shared" si="3"/>
        <v>22649.568046875003</v>
      </c>
    </row>
    <row r="12" spans="1:11">
      <c r="A12" s="78" t="s">
        <v>158</v>
      </c>
      <c r="B12" s="78" t="s">
        <v>157</v>
      </c>
      <c r="C12" s="78">
        <v>12</v>
      </c>
      <c r="D12" s="79">
        <v>1500</v>
      </c>
      <c r="E12" s="80">
        <f t="shared" ref="E12:K12" si="4">$C12*$D12*E$4</f>
        <v>18000</v>
      </c>
      <c r="F12" s="80">
        <f>$C12*$D12*F$4</f>
        <v>18900</v>
      </c>
      <c r="G12" s="80">
        <f t="shared" si="4"/>
        <v>20317.500000000004</v>
      </c>
      <c r="H12" s="80">
        <f t="shared" si="4"/>
        <v>22349.250000000004</v>
      </c>
      <c r="I12" s="80">
        <f t="shared" si="4"/>
        <v>25142.906250000007</v>
      </c>
      <c r="J12" s="80">
        <f t="shared" si="4"/>
        <v>28914.342187500006</v>
      </c>
      <c r="K12" s="80">
        <f t="shared" si="4"/>
        <v>33974.352070312503</v>
      </c>
    </row>
    <row r="13" spans="1:11">
      <c r="A13" s="78" t="s">
        <v>159</v>
      </c>
      <c r="B13" s="78" t="s">
        <v>157</v>
      </c>
      <c r="C13" s="78">
        <v>12</v>
      </c>
      <c r="D13" s="79">
        <v>2000</v>
      </c>
      <c r="E13" s="80">
        <f t="shared" ref="E13:K13" si="5">$C13*$D13*E$4</f>
        <v>24000</v>
      </c>
      <c r="F13" s="80">
        <f t="shared" si="5"/>
        <v>25200</v>
      </c>
      <c r="G13" s="80">
        <f t="shared" si="5"/>
        <v>27090.000000000004</v>
      </c>
      <c r="H13" s="80">
        <f t="shared" si="5"/>
        <v>29799.000000000004</v>
      </c>
      <c r="I13" s="80">
        <f t="shared" si="5"/>
        <v>33523.875000000007</v>
      </c>
      <c r="J13" s="80">
        <f t="shared" si="5"/>
        <v>38552.456250000003</v>
      </c>
      <c r="K13" s="80">
        <f t="shared" si="5"/>
        <v>45299.136093750007</v>
      </c>
    </row>
    <row r="14" spans="1:11">
      <c r="A14" s="78" t="s">
        <v>160</v>
      </c>
      <c r="B14" s="78" t="s">
        <v>157</v>
      </c>
      <c r="C14" s="78">
        <v>12</v>
      </c>
      <c r="D14" s="79">
        <v>10000</v>
      </c>
      <c r="E14" s="80">
        <f t="shared" ref="E14:K14" si="6">$C14*$D14*E$4</f>
        <v>120000</v>
      </c>
      <c r="F14" s="80">
        <f t="shared" si="6"/>
        <v>126000</v>
      </c>
      <c r="G14" s="80">
        <f t="shared" si="6"/>
        <v>135450.00000000003</v>
      </c>
      <c r="H14" s="80">
        <f t="shared" si="6"/>
        <v>148995.00000000003</v>
      </c>
      <c r="I14" s="80">
        <f t="shared" si="6"/>
        <v>167619.37500000003</v>
      </c>
      <c r="J14" s="80">
        <f t="shared" si="6"/>
        <v>192762.28125000003</v>
      </c>
      <c r="K14" s="80">
        <f t="shared" si="6"/>
        <v>226495.68046875004</v>
      </c>
    </row>
    <row r="15" spans="1:11">
      <c r="A15" s="78" t="s">
        <v>161</v>
      </c>
      <c r="B15" s="78" t="s">
        <v>157</v>
      </c>
      <c r="C15" s="78">
        <v>12</v>
      </c>
      <c r="D15" s="79">
        <v>15000</v>
      </c>
      <c r="E15" s="80">
        <f t="shared" ref="E15:K15" si="7">$C15*$D15*E$4</f>
        <v>180000</v>
      </c>
      <c r="F15" s="80">
        <f>$C15*$D15*F$4</f>
        <v>189000</v>
      </c>
      <c r="G15" s="80">
        <f t="shared" si="7"/>
        <v>203175.00000000003</v>
      </c>
      <c r="H15" s="80">
        <f t="shared" si="7"/>
        <v>223492.50000000003</v>
      </c>
      <c r="I15" s="80">
        <f t="shared" si="7"/>
        <v>251429.06250000006</v>
      </c>
      <c r="J15" s="80">
        <f t="shared" si="7"/>
        <v>289143.42187500006</v>
      </c>
      <c r="K15" s="80">
        <f t="shared" si="7"/>
        <v>339743.52070312505</v>
      </c>
    </row>
    <row r="16" spans="1:11">
      <c r="A16" s="78" t="s">
        <v>162</v>
      </c>
      <c r="B16" s="78" t="s">
        <v>163</v>
      </c>
      <c r="C16" s="78">
        <v>1</v>
      </c>
      <c r="D16" s="79">
        <v>125000</v>
      </c>
      <c r="E16" s="80">
        <f t="shared" ref="E16:K16" si="8">$D16*E$4*$C16</f>
        <v>125000</v>
      </c>
      <c r="F16" s="80">
        <f t="shared" si="8"/>
        <v>131250</v>
      </c>
      <c r="G16" s="80">
        <f t="shared" si="8"/>
        <v>141093.75000000003</v>
      </c>
      <c r="H16" s="80">
        <f t="shared" si="8"/>
        <v>155203.12500000003</v>
      </c>
      <c r="I16" s="80">
        <f t="shared" si="8"/>
        <v>174603.51562500003</v>
      </c>
      <c r="J16" s="80">
        <f t="shared" si="8"/>
        <v>200794.04296875003</v>
      </c>
      <c r="K16" s="80">
        <f t="shared" si="8"/>
        <v>235933.00048828128</v>
      </c>
    </row>
    <row r="17" spans="1:17">
      <c r="A17" s="312" t="s">
        <v>702</v>
      </c>
      <c r="B17" s="312" t="s">
        <v>157</v>
      </c>
      <c r="C17" s="78">
        <v>12</v>
      </c>
      <c r="D17" s="79">
        <v>15000</v>
      </c>
      <c r="E17" s="80">
        <f t="shared" ref="E17:K17" si="9">$D17*E$4*$C17</f>
        <v>180000</v>
      </c>
      <c r="F17" s="80">
        <f>$D17*F$4*$C17</f>
        <v>189000</v>
      </c>
      <c r="G17" s="80">
        <f t="shared" si="9"/>
        <v>203175.00000000006</v>
      </c>
      <c r="H17" s="80">
        <f t="shared" si="9"/>
        <v>223492.50000000006</v>
      </c>
      <c r="I17" s="80">
        <f t="shared" si="9"/>
        <v>251429.06250000006</v>
      </c>
      <c r="J17" s="80">
        <f t="shared" si="9"/>
        <v>289143.42187500006</v>
      </c>
      <c r="K17" s="80">
        <f t="shared" si="9"/>
        <v>339743.52070312505</v>
      </c>
    </row>
    <row r="18" spans="1:17">
      <c r="A18" s="78"/>
      <c r="B18" s="78"/>
      <c r="C18" s="78"/>
      <c r="D18" s="79"/>
      <c r="E18" s="80">
        <f t="shared" ref="E18:K18" si="10">$D18*E$4*$C18</f>
        <v>0</v>
      </c>
      <c r="F18" s="80">
        <f t="shared" si="10"/>
        <v>0</v>
      </c>
      <c r="G18" s="80">
        <f t="shared" si="10"/>
        <v>0</v>
      </c>
      <c r="H18" s="80">
        <f t="shared" si="10"/>
        <v>0</v>
      </c>
      <c r="I18" s="80">
        <f t="shared" si="10"/>
        <v>0</v>
      </c>
      <c r="J18" s="80">
        <f t="shared" si="10"/>
        <v>0</v>
      </c>
      <c r="K18" s="80">
        <f t="shared" si="10"/>
        <v>0</v>
      </c>
    </row>
    <row r="19" spans="1:17">
      <c r="A19" s="78"/>
      <c r="B19" s="78"/>
      <c r="C19" s="78"/>
      <c r="D19" s="79"/>
      <c r="E19" s="80">
        <f t="shared" ref="E19:K19" si="11">$D19*E$4*$C19</f>
        <v>0</v>
      </c>
      <c r="F19" s="80">
        <f t="shared" si="11"/>
        <v>0</v>
      </c>
      <c r="G19" s="80">
        <f t="shared" si="11"/>
        <v>0</v>
      </c>
      <c r="H19" s="80">
        <f t="shared" si="11"/>
        <v>0</v>
      </c>
      <c r="I19" s="80">
        <f t="shared" si="11"/>
        <v>0</v>
      </c>
      <c r="J19" s="80">
        <f t="shared" si="11"/>
        <v>0</v>
      </c>
      <c r="K19" s="80">
        <f t="shared" si="11"/>
        <v>0</v>
      </c>
    </row>
    <row r="20" spans="1:17">
      <c r="A20" s="78"/>
      <c r="B20" s="78"/>
      <c r="C20" s="78"/>
      <c r="D20" s="79"/>
      <c r="E20" s="80">
        <f t="shared" ref="E20:K20" si="12">$D20*E$4*$C20</f>
        <v>0</v>
      </c>
      <c r="F20" s="80">
        <f t="shared" si="12"/>
        <v>0</v>
      </c>
      <c r="G20" s="80">
        <f t="shared" si="12"/>
        <v>0</v>
      </c>
      <c r="H20" s="80">
        <f t="shared" si="12"/>
        <v>0</v>
      </c>
      <c r="I20" s="80">
        <f t="shared" si="12"/>
        <v>0</v>
      </c>
      <c r="J20" s="80">
        <f t="shared" si="12"/>
        <v>0</v>
      </c>
      <c r="K20" s="80">
        <f t="shared" si="12"/>
        <v>0</v>
      </c>
    </row>
    <row r="21" spans="1:17" ht="15.75" customHeight="1">
      <c r="A21" s="78"/>
      <c r="B21" s="78"/>
      <c r="C21" s="78"/>
      <c r="D21" s="79"/>
      <c r="E21" s="80">
        <f t="shared" ref="E21:K21" si="13">$D21*E$4*$C21</f>
        <v>0</v>
      </c>
      <c r="F21" s="80">
        <f t="shared" si="13"/>
        <v>0</v>
      </c>
      <c r="G21" s="80">
        <f t="shared" si="13"/>
        <v>0</v>
      </c>
      <c r="H21" s="80">
        <f t="shared" si="13"/>
        <v>0</v>
      </c>
      <c r="I21" s="80">
        <f t="shared" si="13"/>
        <v>0</v>
      </c>
      <c r="J21" s="80">
        <f t="shared" si="13"/>
        <v>0</v>
      </c>
      <c r="K21" s="80">
        <f t="shared" si="13"/>
        <v>0</v>
      </c>
    </row>
    <row r="22" spans="1:17" ht="15.75" customHeight="1">
      <c r="A22" s="78"/>
      <c r="B22" s="78"/>
      <c r="C22" s="78"/>
      <c r="D22" s="80"/>
      <c r="E22" s="80">
        <f t="shared" ref="E22:K22" si="14">$D22*E$4*$C22</f>
        <v>0</v>
      </c>
      <c r="F22" s="80">
        <f t="shared" si="14"/>
        <v>0</v>
      </c>
      <c r="G22" s="80">
        <f t="shared" si="14"/>
        <v>0</v>
      </c>
      <c r="H22" s="80">
        <f t="shared" si="14"/>
        <v>0</v>
      </c>
      <c r="I22" s="80">
        <f t="shared" si="14"/>
        <v>0</v>
      </c>
      <c r="J22" s="80">
        <f t="shared" si="14"/>
        <v>0</v>
      </c>
      <c r="K22" s="80">
        <f t="shared" si="14"/>
        <v>0</v>
      </c>
    </row>
    <row r="23" spans="1:17" ht="15.75" customHeight="1">
      <c r="A23" s="81" t="s">
        <v>164</v>
      </c>
      <c r="B23" s="81"/>
      <c r="C23" s="81"/>
      <c r="D23" s="82"/>
      <c r="E23" s="82">
        <f t="shared" ref="E23:K23" si="15">SUM(E8:E22)</f>
        <v>1379000</v>
      </c>
      <c r="F23" s="82">
        <f t="shared" si="15"/>
        <v>1447950</v>
      </c>
      <c r="G23" s="82">
        <f t="shared" si="15"/>
        <v>1556546.2500000002</v>
      </c>
      <c r="H23" s="82">
        <f t="shared" si="15"/>
        <v>1712200.8750000002</v>
      </c>
      <c r="I23" s="82">
        <f t="shared" si="15"/>
        <v>1926225.9843750002</v>
      </c>
      <c r="J23" s="82">
        <f t="shared" si="15"/>
        <v>2215159.8820312503</v>
      </c>
      <c r="K23" s="82">
        <f t="shared" si="15"/>
        <v>2602812.8613867192</v>
      </c>
    </row>
    <row r="24" spans="1:17" ht="15.75" customHeight="1"/>
    <row r="25" spans="1:17" ht="15.75" customHeight="1"/>
    <row r="26" spans="1:17" ht="15.75" customHeight="1"/>
    <row r="27" spans="1:17" ht="15.75" customHeight="1"/>
    <row r="28" spans="1:17" ht="15.75" customHeight="1">
      <c r="A28" s="356"/>
      <c r="B28" s="324"/>
      <c r="C28" s="324"/>
      <c r="D28" s="324"/>
      <c r="E28" s="324"/>
      <c r="F28" s="324"/>
      <c r="G28" s="324"/>
      <c r="H28" s="324"/>
      <c r="I28" s="324"/>
      <c r="J28" s="324"/>
      <c r="K28" s="324"/>
      <c r="L28" s="324"/>
      <c r="M28" s="324"/>
      <c r="N28" s="324"/>
      <c r="O28" s="324"/>
    </row>
    <row r="29" spans="1:17" ht="15.75" customHeight="1">
      <c r="A29" s="354" t="s">
        <v>165</v>
      </c>
      <c r="B29" s="324"/>
      <c r="C29" s="324"/>
      <c r="D29" s="324"/>
      <c r="E29" s="324"/>
      <c r="F29" s="324"/>
      <c r="G29" s="324"/>
      <c r="H29" s="324"/>
      <c r="I29" s="324"/>
      <c r="J29" s="324"/>
      <c r="K29" s="324"/>
      <c r="L29" s="324"/>
      <c r="M29" s="324"/>
      <c r="N29" s="324"/>
      <c r="O29" s="324"/>
      <c r="P29" s="324"/>
      <c r="Q29" s="324"/>
    </row>
    <row r="30" spans="1:17" ht="15.75" customHeight="1">
      <c r="A30" s="83"/>
      <c r="B30" s="83"/>
      <c r="C30" s="83"/>
      <c r="D30" s="83"/>
      <c r="E30" s="83"/>
      <c r="F30" s="83"/>
      <c r="G30" s="83"/>
      <c r="H30" s="83"/>
      <c r="I30" s="83"/>
      <c r="J30" s="83"/>
      <c r="K30" s="83"/>
      <c r="L30" s="83"/>
      <c r="M30" s="83"/>
      <c r="N30" s="83"/>
      <c r="O30" s="83"/>
    </row>
    <row r="31" spans="1:17" ht="15.75" customHeight="1">
      <c r="A31" s="73"/>
      <c r="B31" s="73"/>
      <c r="C31" s="357" t="s">
        <v>166</v>
      </c>
      <c r="D31" s="326"/>
      <c r="E31" s="326"/>
      <c r="F31" s="326"/>
      <c r="G31" s="326"/>
      <c r="H31" s="326"/>
      <c r="I31" s="326"/>
      <c r="J31" s="73"/>
      <c r="K31" s="358" t="s">
        <v>167</v>
      </c>
      <c r="L31" s="326"/>
      <c r="M31" s="326"/>
      <c r="N31" s="326"/>
      <c r="O31" s="326"/>
      <c r="P31" s="326"/>
      <c r="Q31" s="326"/>
    </row>
    <row r="32" spans="1:17" ht="15.75" customHeight="1">
      <c r="A32" s="76" t="s">
        <v>142</v>
      </c>
      <c r="B32" s="84"/>
      <c r="C32" s="85" t="s">
        <v>145</v>
      </c>
      <c r="D32" s="85" t="s">
        <v>146</v>
      </c>
      <c r="E32" s="85" t="s">
        <v>147</v>
      </c>
      <c r="F32" s="85" t="s">
        <v>148</v>
      </c>
      <c r="G32" s="85" t="s">
        <v>149</v>
      </c>
      <c r="H32" s="85" t="s">
        <v>150</v>
      </c>
      <c r="I32" s="85" t="s">
        <v>151</v>
      </c>
      <c r="J32" s="86"/>
      <c r="K32" s="85" t="s">
        <v>145</v>
      </c>
      <c r="L32" s="85" t="s">
        <v>146</v>
      </c>
      <c r="M32" s="85" t="s">
        <v>147</v>
      </c>
      <c r="N32" s="85" t="s">
        <v>148</v>
      </c>
      <c r="O32" s="85" t="s">
        <v>149</v>
      </c>
      <c r="P32" s="85" t="s">
        <v>150</v>
      </c>
      <c r="Q32" s="85" t="s">
        <v>151</v>
      </c>
    </row>
    <row r="33" spans="1:17" ht="15.75" customHeight="1">
      <c r="A33" s="87" t="s">
        <v>168</v>
      </c>
      <c r="B33" s="78"/>
      <c r="C33" s="78"/>
      <c r="D33" s="78"/>
      <c r="E33" s="78"/>
      <c r="F33" s="78"/>
      <c r="G33" s="88"/>
      <c r="H33" s="88"/>
      <c r="I33" s="88"/>
      <c r="J33" s="78"/>
      <c r="K33" s="78"/>
      <c r="L33" s="78"/>
      <c r="M33" s="78"/>
      <c r="N33" s="78"/>
      <c r="O33" s="88"/>
      <c r="P33" s="88"/>
      <c r="Q33" s="88"/>
    </row>
    <row r="34" spans="1:17" ht="15.75" customHeight="1">
      <c r="A34" s="87"/>
      <c r="B34" s="78"/>
      <c r="C34" s="78"/>
      <c r="D34" s="78"/>
      <c r="E34" s="78"/>
      <c r="F34" s="78"/>
      <c r="G34" s="88"/>
      <c r="H34" s="88"/>
      <c r="I34" s="88"/>
      <c r="J34" s="78"/>
      <c r="K34" s="78"/>
      <c r="L34" s="78"/>
      <c r="M34" s="78"/>
      <c r="N34" s="78"/>
      <c r="O34" s="88"/>
      <c r="P34" s="88"/>
      <c r="Q34" s="88"/>
    </row>
    <row r="35" spans="1:17" ht="15.75" customHeight="1">
      <c r="A35" s="89"/>
      <c r="B35" s="89"/>
      <c r="C35" s="78"/>
      <c r="D35" s="78"/>
      <c r="E35" s="78"/>
      <c r="F35" s="78"/>
      <c r="G35" s="78"/>
      <c r="H35" s="78"/>
      <c r="I35" s="78"/>
      <c r="J35" s="78"/>
      <c r="K35" s="78"/>
      <c r="L35" s="78"/>
      <c r="M35" s="78"/>
      <c r="N35" s="78"/>
      <c r="O35" s="78"/>
      <c r="P35" s="78"/>
      <c r="Q35" s="78"/>
    </row>
    <row r="36" spans="1:17" ht="15.75" customHeight="1">
      <c r="A36" s="90" t="s">
        <v>169</v>
      </c>
      <c r="B36" s="90"/>
      <c r="C36" s="78"/>
      <c r="D36" s="78"/>
      <c r="E36" s="78"/>
      <c r="F36" s="78"/>
      <c r="G36" s="78"/>
      <c r="H36" s="78"/>
      <c r="I36" s="78"/>
      <c r="J36" s="78"/>
      <c r="K36" s="78"/>
      <c r="L36" s="78"/>
      <c r="M36" s="78"/>
      <c r="N36" s="78"/>
      <c r="O36" s="78"/>
      <c r="P36" s="78"/>
      <c r="Q36" s="78"/>
    </row>
    <row r="37" spans="1:17" ht="15.75" customHeight="1">
      <c r="A37" s="89" t="s">
        <v>170</v>
      </c>
      <c r="B37" s="89"/>
      <c r="C37" s="91">
        <f>'1.Project Cost and MOF'!D5</f>
        <v>14510500</v>
      </c>
      <c r="D37" s="91">
        <f t="shared" ref="D37:I37" si="16">C40</f>
        <v>14050517.15</v>
      </c>
      <c r="E37" s="91">
        <f t="shared" si="16"/>
        <v>13590534.300000001</v>
      </c>
      <c r="F37" s="91">
        <f t="shared" si="16"/>
        <v>13130551.450000001</v>
      </c>
      <c r="G37" s="91">
        <f t="shared" si="16"/>
        <v>12670568.600000001</v>
      </c>
      <c r="H37" s="91">
        <f t="shared" si="16"/>
        <v>12210585.750000002</v>
      </c>
      <c r="I37" s="91">
        <f t="shared" si="16"/>
        <v>11750602.900000002</v>
      </c>
      <c r="J37" s="78"/>
      <c r="K37" s="91">
        <f>C37</f>
        <v>14510500</v>
      </c>
      <c r="L37" s="91">
        <f t="shared" ref="L37:Q37" si="17">K40</f>
        <v>13059450</v>
      </c>
      <c r="M37" s="91">
        <f t="shared" si="17"/>
        <v>11753505</v>
      </c>
      <c r="N37" s="91">
        <f t="shared" si="17"/>
        <v>10578154.5</v>
      </c>
      <c r="O37" s="91">
        <f t="shared" si="17"/>
        <v>9520339.0500000007</v>
      </c>
      <c r="P37" s="91">
        <f t="shared" si="17"/>
        <v>8568305.1450000014</v>
      </c>
      <c r="Q37" s="91">
        <f t="shared" si="17"/>
        <v>7711474.6305000009</v>
      </c>
    </row>
    <row r="38" spans="1:17" ht="15.75" customHeight="1">
      <c r="A38" s="89" t="s">
        <v>171</v>
      </c>
      <c r="B38" s="89"/>
      <c r="C38" s="91">
        <f>$C$37*$B$74</f>
        <v>459982.85</v>
      </c>
      <c r="D38" s="91">
        <f t="shared" ref="D38:I38" si="18">$C$37*$B$74</f>
        <v>459982.85</v>
      </c>
      <c r="E38" s="91">
        <f t="shared" si="18"/>
        <v>459982.85</v>
      </c>
      <c r="F38" s="91">
        <f t="shared" si="18"/>
        <v>459982.85</v>
      </c>
      <c r="G38" s="91">
        <f t="shared" si="18"/>
        <v>459982.85</v>
      </c>
      <c r="H38" s="91">
        <f t="shared" si="18"/>
        <v>459982.85</v>
      </c>
      <c r="I38" s="91">
        <f t="shared" si="18"/>
        <v>459982.85</v>
      </c>
      <c r="J38" s="78"/>
      <c r="K38" s="91">
        <f t="shared" ref="K38:Q38" si="19">K37*$C$74</f>
        <v>1451050</v>
      </c>
      <c r="L38" s="91">
        <f t="shared" si="19"/>
        <v>1305945</v>
      </c>
      <c r="M38" s="91">
        <f t="shared" si="19"/>
        <v>1175350.5</v>
      </c>
      <c r="N38" s="91">
        <f t="shared" si="19"/>
        <v>1057815.45</v>
      </c>
      <c r="O38" s="91">
        <f t="shared" si="19"/>
        <v>952033.90500000014</v>
      </c>
      <c r="P38" s="91">
        <f t="shared" si="19"/>
        <v>856830.51450000016</v>
      </c>
      <c r="Q38" s="91">
        <f t="shared" si="19"/>
        <v>771147.46305000014</v>
      </c>
    </row>
    <row r="39" spans="1:17" ht="15.75" customHeight="1">
      <c r="A39" s="89" t="s">
        <v>172</v>
      </c>
      <c r="B39" s="89"/>
      <c r="C39" s="91">
        <f>C38</f>
        <v>459982.85</v>
      </c>
      <c r="D39" s="91">
        <f t="shared" ref="D39:I39" si="20">C39+D38</f>
        <v>919965.7</v>
      </c>
      <c r="E39" s="91">
        <f t="shared" si="20"/>
        <v>1379948.5499999998</v>
      </c>
      <c r="F39" s="91">
        <f t="shared" si="20"/>
        <v>1839931.4</v>
      </c>
      <c r="G39" s="91">
        <f t="shared" si="20"/>
        <v>2299914.25</v>
      </c>
      <c r="H39" s="91">
        <f t="shared" si="20"/>
        <v>2759897.1</v>
      </c>
      <c r="I39" s="91">
        <f t="shared" si="20"/>
        <v>3219879.95</v>
      </c>
      <c r="J39" s="78"/>
      <c r="K39" s="91">
        <f>K38</f>
        <v>1451050</v>
      </c>
      <c r="L39" s="91">
        <f t="shared" ref="L39:Q39" si="21">K39+L38</f>
        <v>2756995</v>
      </c>
      <c r="M39" s="91">
        <f t="shared" si="21"/>
        <v>3932345.5</v>
      </c>
      <c r="N39" s="91">
        <f t="shared" si="21"/>
        <v>4990160.95</v>
      </c>
      <c r="O39" s="91">
        <f t="shared" si="21"/>
        <v>5942194.8550000004</v>
      </c>
      <c r="P39" s="91">
        <f t="shared" si="21"/>
        <v>6799025.369500001</v>
      </c>
      <c r="Q39" s="91">
        <f t="shared" si="21"/>
        <v>7570172.8325500013</v>
      </c>
    </row>
    <row r="40" spans="1:17" ht="15.75" customHeight="1">
      <c r="A40" s="89" t="s">
        <v>173</v>
      </c>
      <c r="B40" s="89"/>
      <c r="C40" s="91">
        <f t="shared" ref="C40:I40" si="22">C37-C38</f>
        <v>14050517.15</v>
      </c>
      <c r="D40" s="91">
        <f t="shared" si="22"/>
        <v>13590534.300000001</v>
      </c>
      <c r="E40" s="91">
        <f t="shared" si="22"/>
        <v>13130551.450000001</v>
      </c>
      <c r="F40" s="91">
        <f t="shared" si="22"/>
        <v>12670568.600000001</v>
      </c>
      <c r="G40" s="91">
        <f t="shared" si="22"/>
        <v>12210585.750000002</v>
      </c>
      <c r="H40" s="91">
        <f t="shared" si="22"/>
        <v>11750602.900000002</v>
      </c>
      <c r="I40" s="91">
        <f t="shared" si="22"/>
        <v>11290620.050000003</v>
      </c>
      <c r="J40" s="78"/>
      <c r="K40" s="91">
        <f t="shared" ref="K40:Q40" si="23">K37-K38</f>
        <v>13059450</v>
      </c>
      <c r="L40" s="91">
        <f t="shared" si="23"/>
        <v>11753505</v>
      </c>
      <c r="M40" s="91">
        <f t="shared" si="23"/>
        <v>10578154.5</v>
      </c>
      <c r="N40" s="91">
        <f t="shared" si="23"/>
        <v>9520339.0500000007</v>
      </c>
      <c r="O40" s="91">
        <f t="shared" si="23"/>
        <v>8568305.1450000014</v>
      </c>
      <c r="P40" s="91">
        <f t="shared" si="23"/>
        <v>7711474.6305000009</v>
      </c>
      <c r="Q40" s="91">
        <f t="shared" si="23"/>
        <v>6940327.1674500005</v>
      </c>
    </row>
    <row r="41" spans="1:17" ht="15.75" customHeight="1">
      <c r="A41" s="89"/>
      <c r="B41" s="89"/>
      <c r="C41" s="91"/>
      <c r="D41" s="91"/>
      <c r="E41" s="91"/>
      <c r="F41" s="91"/>
      <c r="G41" s="91"/>
      <c r="H41" s="91"/>
      <c r="I41" s="91"/>
      <c r="J41" s="78"/>
      <c r="K41" s="91"/>
      <c r="L41" s="91"/>
      <c r="M41" s="91"/>
      <c r="N41" s="91"/>
      <c r="O41" s="91"/>
      <c r="P41" s="91"/>
      <c r="Q41" s="91"/>
    </row>
    <row r="42" spans="1:17" ht="15.75" customHeight="1">
      <c r="A42" s="90" t="s">
        <v>174</v>
      </c>
      <c r="B42" s="90"/>
      <c r="C42" s="91"/>
      <c r="D42" s="91"/>
      <c r="E42" s="91"/>
      <c r="F42" s="91"/>
      <c r="G42" s="91"/>
      <c r="H42" s="91"/>
      <c r="I42" s="91"/>
      <c r="J42" s="78"/>
      <c r="K42" s="91"/>
      <c r="L42" s="91"/>
      <c r="M42" s="91"/>
      <c r="N42" s="91"/>
      <c r="O42" s="91"/>
      <c r="P42" s="91"/>
      <c r="Q42" s="91"/>
    </row>
    <row r="43" spans="1:17" ht="15.75" customHeight="1">
      <c r="A43" s="89" t="s">
        <v>170</v>
      </c>
      <c r="B43" s="89"/>
      <c r="C43" s="91">
        <f>'1.Project Cost and MOF'!D6</f>
        <v>8880680</v>
      </c>
      <c r="D43" s="91">
        <f t="shared" ref="D43:I43" si="24">C46</f>
        <v>8318532.9560000002</v>
      </c>
      <c r="E43" s="91">
        <f t="shared" si="24"/>
        <v>7756385.9120000005</v>
      </c>
      <c r="F43" s="91">
        <f t="shared" si="24"/>
        <v>7194238.8680000007</v>
      </c>
      <c r="G43" s="91">
        <f t="shared" si="24"/>
        <v>6632091.824000001</v>
      </c>
      <c r="H43" s="91">
        <f t="shared" si="24"/>
        <v>6069944.7800000012</v>
      </c>
      <c r="I43" s="91">
        <f t="shared" si="24"/>
        <v>5507797.7360000014</v>
      </c>
      <c r="J43" s="78"/>
      <c r="K43" s="91">
        <f>C43</f>
        <v>8880680</v>
      </c>
      <c r="L43" s="91">
        <f t="shared" ref="L43:Q43" si="25">K46</f>
        <v>7548578</v>
      </c>
      <c r="M43" s="91">
        <f t="shared" si="25"/>
        <v>6416291.2999999998</v>
      </c>
      <c r="N43" s="91">
        <f t="shared" si="25"/>
        <v>5453847.6049999995</v>
      </c>
      <c r="O43" s="91">
        <f t="shared" si="25"/>
        <v>4635770.4642499993</v>
      </c>
      <c r="P43" s="91">
        <f t="shared" si="25"/>
        <v>3940404.8946124995</v>
      </c>
      <c r="Q43" s="91">
        <f t="shared" si="25"/>
        <v>3349344.1604206245</v>
      </c>
    </row>
    <row r="44" spans="1:17" ht="15.75" customHeight="1">
      <c r="A44" s="89" t="s">
        <v>171</v>
      </c>
      <c r="B44" s="89"/>
      <c r="C44" s="91">
        <f t="shared" ref="C44:I44" si="26">$C$43*$B$78</f>
        <v>562147.04399999999</v>
      </c>
      <c r="D44" s="91">
        <f t="shared" si="26"/>
        <v>562147.04399999999</v>
      </c>
      <c r="E44" s="91">
        <f t="shared" si="26"/>
        <v>562147.04399999999</v>
      </c>
      <c r="F44" s="91">
        <f t="shared" si="26"/>
        <v>562147.04399999999</v>
      </c>
      <c r="G44" s="91">
        <f t="shared" si="26"/>
        <v>562147.04399999999</v>
      </c>
      <c r="H44" s="91">
        <f t="shared" si="26"/>
        <v>562147.04399999999</v>
      </c>
      <c r="I44" s="91">
        <f t="shared" si="26"/>
        <v>562147.04399999999</v>
      </c>
      <c r="J44" s="78"/>
      <c r="K44" s="91">
        <f t="shared" ref="K44:Q44" si="27">K43*$C$78</f>
        <v>1332102</v>
      </c>
      <c r="L44" s="91">
        <f t="shared" si="27"/>
        <v>1132286.7</v>
      </c>
      <c r="M44" s="91">
        <f t="shared" si="27"/>
        <v>962443.69499999995</v>
      </c>
      <c r="N44" s="91">
        <f t="shared" si="27"/>
        <v>818077.1407499999</v>
      </c>
      <c r="O44" s="91">
        <f t="shared" si="27"/>
        <v>695365.56963749987</v>
      </c>
      <c r="P44" s="91">
        <f t="shared" si="27"/>
        <v>591060.73419187486</v>
      </c>
      <c r="Q44" s="91">
        <f t="shared" si="27"/>
        <v>502401.62406309368</v>
      </c>
    </row>
    <row r="45" spans="1:17" ht="15.75" customHeight="1">
      <c r="A45" s="89" t="s">
        <v>172</v>
      </c>
      <c r="B45" s="89"/>
      <c r="C45" s="91">
        <f>C44</f>
        <v>562147.04399999999</v>
      </c>
      <c r="D45" s="91">
        <f t="shared" ref="D45:I45" si="28">C45+D44</f>
        <v>1124294.088</v>
      </c>
      <c r="E45" s="91">
        <f t="shared" si="28"/>
        <v>1686441.132</v>
      </c>
      <c r="F45" s="91">
        <f t="shared" si="28"/>
        <v>2248588.176</v>
      </c>
      <c r="G45" s="91">
        <f t="shared" si="28"/>
        <v>2810735.2199999997</v>
      </c>
      <c r="H45" s="91">
        <f t="shared" si="28"/>
        <v>3372882.2639999995</v>
      </c>
      <c r="I45" s="91">
        <f t="shared" si="28"/>
        <v>3935029.3079999993</v>
      </c>
      <c r="J45" s="78"/>
      <c r="K45" s="91">
        <f>K44</f>
        <v>1332102</v>
      </c>
      <c r="L45" s="91">
        <f t="shared" ref="L45:Q45" si="29">K45+L44</f>
        <v>2464388.7000000002</v>
      </c>
      <c r="M45" s="91">
        <f t="shared" si="29"/>
        <v>3426832.395</v>
      </c>
      <c r="N45" s="91">
        <f t="shared" si="29"/>
        <v>4244909.5357499998</v>
      </c>
      <c r="O45" s="91">
        <f t="shared" si="29"/>
        <v>4940275.1053874996</v>
      </c>
      <c r="P45" s="91">
        <f t="shared" si="29"/>
        <v>5531335.8395793745</v>
      </c>
      <c r="Q45" s="91">
        <f t="shared" si="29"/>
        <v>6033737.4636424687</v>
      </c>
    </row>
    <row r="46" spans="1:17" ht="15.75" customHeight="1">
      <c r="A46" s="89" t="s">
        <v>173</v>
      </c>
      <c r="B46" s="89"/>
      <c r="C46" s="91">
        <f t="shared" ref="C46:I46" si="30">C43-C44</f>
        <v>8318532.9560000002</v>
      </c>
      <c r="D46" s="91">
        <f t="shared" si="30"/>
        <v>7756385.9120000005</v>
      </c>
      <c r="E46" s="91">
        <f t="shared" si="30"/>
        <v>7194238.8680000007</v>
      </c>
      <c r="F46" s="91">
        <f t="shared" si="30"/>
        <v>6632091.824000001</v>
      </c>
      <c r="G46" s="91">
        <f t="shared" si="30"/>
        <v>6069944.7800000012</v>
      </c>
      <c r="H46" s="91">
        <f t="shared" si="30"/>
        <v>5507797.7360000014</v>
      </c>
      <c r="I46" s="91">
        <f t="shared" si="30"/>
        <v>4945650.6920000017</v>
      </c>
      <c r="J46" s="78"/>
      <c r="K46" s="91">
        <f t="shared" ref="K46:Q46" si="31">K43-K44</f>
        <v>7548578</v>
      </c>
      <c r="L46" s="91">
        <f t="shared" si="31"/>
        <v>6416291.2999999998</v>
      </c>
      <c r="M46" s="91">
        <f t="shared" si="31"/>
        <v>5453847.6049999995</v>
      </c>
      <c r="N46" s="91">
        <f t="shared" si="31"/>
        <v>4635770.4642499993</v>
      </c>
      <c r="O46" s="91">
        <f t="shared" si="31"/>
        <v>3940404.8946124995</v>
      </c>
      <c r="P46" s="91">
        <f t="shared" si="31"/>
        <v>3349344.1604206245</v>
      </c>
      <c r="Q46" s="91">
        <f t="shared" si="31"/>
        <v>2846942.5363575309</v>
      </c>
    </row>
    <row r="47" spans="1:17" ht="15.75" customHeight="1">
      <c r="A47" s="89"/>
      <c r="B47" s="89"/>
      <c r="C47" s="91"/>
      <c r="D47" s="91"/>
      <c r="E47" s="91"/>
      <c r="F47" s="91"/>
      <c r="G47" s="91"/>
      <c r="H47" s="91"/>
      <c r="I47" s="91"/>
      <c r="J47" s="78"/>
      <c r="K47" s="91"/>
      <c r="L47" s="91"/>
      <c r="M47" s="91"/>
      <c r="N47" s="91"/>
      <c r="O47" s="91"/>
      <c r="P47" s="91"/>
      <c r="Q47" s="91"/>
    </row>
    <row r="48" spans="1:17" ht="15.75" customHeight="1">
      <c r="A48" s="90" t="s">
        <v>175</v>
      </c>
      <c r="B48" s="90"/>
      <c r="C48" s="91"/>
      <c r="D48" s="91"/>
      <c r="E48" s="91"/>
      <c r="F48" s="91"/>
      <c r="G48" s="91"/>
      <c r="H48" s="91"/>
      <c r="I48" s="91"/>
      <c r="J48" s="78"/>
      <c r="K48" s="91"/>
      <c r="L48" s="91"/>
      <c r="M48" s="91"/>
      <c r="N48" s="91"/>
      <c r="O48" s="91"/>
      <c r="P48" s="91"/>
      <c r="Q48" s="91"/>
    </row>
    <row r="49" spans="1:17" ht="15.75" customHeight="1">
      <c r="A49" s="89" t="s">
        <v>170</v>
      </c>
      <c r="B49" s="89"/>
      <c r="C49" s="91">
        <f>'1.Project Cost and MOF'!D7</f>
        <v>150000</v>
      </c>
      <c r="D49" s="91">
        <f t="shared" ref="D49:I49" si="32">C52</f>
        <v>135000</v>
      </c>
      <c r="E49" s="91">
        <f t="shared" si="32"/>
        <v>120000</v>
      </c>
      <c r="F49" s="91">
        <f t="shared" si="32"/>
        <v>105000</v>
      </c>
      <c r="G49" s="91">
        <f t="shared" si="32"/>
        <v>90000</v>
      </c>
      <c r="H49" s="91">
        <f t="shared" si="32"/>
        <v>75000</v>
      </c>
      <c r="I49" s="91">
        <f t="shared" si="32"/>
        <v>60000</v>
      </c>
      <c r="J49" s="78"/>
      <c r="K49" s="91">
        <f>C49</f>
        <v>150000</v>
      </c>
      <c r="L49" s="91">
        <f t="shared" ref="L49:Q49" si="33">K52</f>
        <v>135000</v>
      </c>
      <c r="M49" s="91">
        <f t="shared" si="33"/>
        <v>121500</v>
      </c>
      <c r="N49" s="91">
        <f t="shared" si="33"/>
        <v>109350</v>
      </c>
      <c r="O49" s="91">
        <f t="shared" si="33"/>
        <v>98415</v>
      </c>
      <c r="P49" s="91">
        <f t="shared" si="33"/>
        <v>88573.5</v>
      </c>
      <c r="Q49" s="91">
        <f t="shared" si="33"/>
        <v>79716.149999999994</v>
      </c>
    </row>
    <row r="50" spans="1:17" ht="15.75" customHeight="1">
      <c r="A50" s="89" t="s">
        <v>171</v>
      </c>
      <c r="B50" s="89"/>
      <c r="C50" s="91">
        <f t="shared" ref="C50:I50" si="34">$C$49*$B$75</f>
        <v>15000</v>
      </c>
      <c r="D50" s="91">
        <f t="shared" si="34"/>
        <v>15000</v>
      </c>
      <c r="E50" s="91">
        <f t="shared" si="34"/>
        <v>15000</v>
      </c>
      <c r="F50" s="91">
        <f t="shared" si="34"/>
        <v>15000</v>
      </c>
      <c r="G50" s="91">
        <f t="shared" si="34"/>
        <v>15000</v>
      </c>
      <c r="H50" s="91">
        <f t="shared" si="34"/>
        <v>15000</v>
      </c>
      <c r="I50" s="91">
        <f t="shared" si="34"/>
        <v>15000</v>
      </c>
      <c r="J50" s="78"/>
      <c r="K50" s="91">
        <f t="shared" ref="K50:Q50" si="35">K49*$C$75</f>
        <v>15000</v>
      </c>
      <c r="L50" s="91">
        <f t="shared" si="35"/>
        <v>13500</v>
      </c>
      <c r="M50" s="91">
        <f t="shared" si="35"/>
        <v>12150</v>
      </c>
      <c r="N50" s="91">
        <f t="shared" si="35"/>
        <v>10935</v>
      </c>
      <c r="O50" s="91">
        <f t="shared" si="35"/>
        <v>9841.5</v>
      </c>
      <c r="P50" s="91">
        <f t="shared" si="35"/>
        <v>8857.35</v>
      </c>
      <c r="Q50" s="91">
        <f t="shared" si="35"/>
        <v>7971.6149999999998</v>
      </c>
    </row>
    <row r="51" spans="1:17" ht="15.75" customHeight="1">
      <c r="A51" s="89" t="s">
        <v>172</v>
      </c>
      <c r="B51" s="89"/>
      <c r="C51" s="91">
        <f>C50</f>
        <v>15000</v>
      </c>
      <c r="D51" s="91">
        <f t="shared" ref="D51:I51" si="36">C51+D50</f>
        <v>30000</v>
      </c>
      <c r="E51" s="91">
        <f t="shared" si="36"/>
        <v>45000</v>
      </c>
      <c r="F51" s="91">
        <f t="shared" si="36"/>
        <v>60000</v>
      </c>
      <c r="G51" s="91">
        <f t="shared" si="36"/>
        <v>75000</v>
      </c>
      <c r="H51" s="91">
        <f t="shared" si="36"/>
        <v>90000</v>
      </c>
      <c r="I51" s="91">
        <f t="shared" si="36"/>
        <v>105000</v>
      </c>
      <c r="J51" s="78"/>
      <c r="K51" s="91">
        <f>K50</f>
        <v>15000</v>
      </c>
      <c r="L51" s="91">
        <f t="shared" ref="L51:Q51" si="37">K51+L50</f>
        <v>28500</v>
      </c>
      <c r="M51" s="91">
        <f t="shared" si="37"/>
        <v>40650</v>
      </c>
      <c r="N51" s="91">
        <f t="shared" si="37"/>
        <v>51585</v>
      </c>
      <c r="O51" s="91">
        <f t="shared" si="37"/>
        <v>61426.5</v>
      </c>
      <c r="P51" s="91">
        <f t="shared" si="37"/>
        <v>70283.850000000006</v>
      </c>
      <c r="Q51" s="91">
        <f t="shared" si="37"/>
        <v>78255.465000000011</v>
      </c>
    </row>
    <row r="52" spans="1:17" ht="15.75" customHeight="1">
      <c r="A52" s="89" t="s">
        <v>173</v>
      </c>
      <c r="B52" s="89"/>
      <c r="C52" s="91">
        <f t="shared" ref="C52:I52" si="38">C49-C50</f>
        <v>135000</v>
      </c>
      <c r="D52" s="91">
        <f t="shared" si="38"/>
        <v>120000</v>
      </c>
      <c r="E52" s="91">
        <f t="shared" si="38"/>
        <v>105000</v>
      </c>
      <c r="F52" s="91">
        <f t="shared" si="38"/>
        <v>90000</v>
      </c>
      <c r="G52" s="91">
        <f t="shared" si="38"/>
        <v>75000</v>
      </c>
      <c r="H52" s="91">
        <f t="shared" si="38"/>
        <v>60000</v>
      </c>
      <c r="I52" s="91">
        <f t="shared" si="38"/>
        <v>45000</v>
      </c>
      <c r="J52" s="78"/>
      <c r="K52" s="91">
        <f t="shared" ref="K52:Q52" si="39">K49-K50</f>
        <v>135000</v>
      </c>
      <c r="L52" s="91">
        <f t="shared" si="39"/>
        <v>121500</v>
      </c>
      <c r="M52" s="91">
        <f t="shared" si="39"/>
        <v>109350</v>
      </c>
      <c r="N52" s="91">
        <f t="shared" si="39"/>
        <v>98415</v>
      </c>
      <c r="O52" s="91">
        <f t="shared" si="39"/>
        <v>88573.5</v>
      </c>
      <c r="P52" s="91">
        <f t="shared" si="39"/>
        <v>79716.149999999994</v>
      </c>
      <c r="Q52" s="91">
        <f t="shared" si="39"/>
        <v>71744.534999999989</v>
      </c>
    </row>
    <row r="53" spans="1:17" ht="15.75" customHeight="1">
      <c r="A53" s="89"/>
      <c r="B53" s="89"/>
      <c r="C53" s="91"/>
      <c r="D53" s="91"/>
      <c r="E53" s="91"/>
      <c r="F53" s="91"/>
      <c r="G53" s="91"/>
      <c r="H53" s="91"/>
      <c r="I53" s="91"/>
      <c r="J53" s="78"/>
      <c r="K53" s="91"/>
      <c r="L53" s="91"/>
      <c r="M53" s="91"/>
      <c r="N53" s="91"/>
      <c r="O53" s="91"/>
      <c r="P53" s="91"/>
      <c r="Q53" s="91"/>
    </row>
    <row r="54" spans="1:17" ht="15.75" customHeight="1">
      <c r="A54" s="90" t="s">
        <v>176</v>
      </c>
      <c r="B54" s="90"/>
      <c r="C54" s="91"/>
      <c r="D54" s="91"/>
      <c r="E54" s="91"/>
      <c r="F54" s="91"/>
      <c r="G54" s="91"/>
      <c r="H54" s="91"/>
      <c r="I54" s="91"/>
      <c r="J54" s="78"/>
      <c r="K54" s="91"/>
      <c r="L54" s="91"/>
      <c r="M54" s="91"/>
      <c r="N54" s="91"/>
      <c r="O54" s="91"/>
      <c r="P54" s="91"/>
      <c r="Q54" s="91"/>
    </row>
    <row r="55" spans="1:17" ht="15.75" customHeight="1">
      <c r="A55" s="89" t="s">
        <v>170</v>
      </c>
      <c r="B55" s="89"/>
      <c r="C55" s="91">
        <f>'1.Project Cost and MOF'!D9</f>
        <v>0</v>
      </c>
      <c r="D55" s="91">
        <f t="shared" ref="D55:I55" si="40">C58</f>
        <v>0</v>
      </c>
      <c r="E55" s="91">
        <f t="shared" si="40"/>
        <v>0</v>
      </c>
      <c r="F55" s="91">
        <f t="shared" si="40"/>
        <v>0</v>
      </c>
      <c r="G55" s="91">
        <f t="shared" si="40"/>
        <v>0</v>
      </c>
      <c r="H55" s="91">
        <f t="shared" si="40"/>
        <v>0</v>
      </c>
      <c r="I55" s="91">
        <f t="shared" si="40"/>
        <v>0</v>
      </c>
      <c r="J55" s="78"/>
      <c r="K55" s="91">
        <f>C55</f>
        <v>0</v>
      </c>
      <c r="L55" s="91">
        <f t="shared" ref="L55:Q55" si="41">K58</f>
        <v>0</v>
      </c>
      <c r="M55" s="91">
        <f t="shared" si="41"/>
        <v>0</v>
      </c>
      <c r="N55" s="91">
        <f t="shared" si="41"/>
        <v>0</v>
      </c>
      <c r="O55" s="91">
        <f t="shared" si="41"/>
        <v>0</v>
      </c>
      <c r="P55" s="91">
        <f t="shared" si="41"/>
        <v>0</v>
      </c>
      <c r="Q55" s="91">
        <f t="shared" si="41"/>
        <v>0</v>
      </c>
    </row>
    <row r="56" spans="1:17" ht="15.75" customHeight="1">
      <c r="A56" s="89" t="s">
        <v>171</v>
      </c>
      <c r="B56" s="89"/>
      <c r="C56" s="91">
        <f t="shared" ref="C56:I56" si="42">$C$55*$B$77</f>
        <v>0</v>
      </c>
      <c r="D56" s="91">
        <f t="shared" si="42"/>
        <v>0</v>
      </c>
      <c r="E56" s="91">
        <f t="shared" si="42"/>
        <v>0</v>
      </c>
      <c r="F56" s="91">
        <f t="shared" si="42"/>
        <v>0</v>
      </c>
      <c r="G56" s="91">
        <f t="shared" si="42"/>
        <v>0</v>
      </c>
      <c r="H56" s="91">
        <f t="shared" si="42"/>
        <v>0</v>
      </c>
      <c r="I56" s="91">
        <f t="shared" si="42"/>
        <v>0</v>
      </c>
      <c r="J56" s="78"/>
      <c r="K56" s="91">
        <f t="shared" ref="K56:Q56" si="43">K55*$C$77</f>
        <v>0</v>
      </c>
      <c r="L56" s="91">
        <f t="shared" si="43"/>
        <v>0</v>
      </c>
      <c r="M56" s="91">
        <f t="shared" si="43"/>
        <v>0</v>
      </c>
      <c r="N56" s="91">
        <f t="shared" si="43"/>
        <v>0</v>
      </c>
      <c r="O56" s="91">
        <f t="shared" si="43"/>
        <v>0</v>
      </c>
      <c r="P56" s="91">
        <f t="shared" si="43"/>
        <v>0</v>
      </c>
      <c r="Q56" s="91">
        <f t="shared" si="43"/>
        <v>0</v>
      </c>
    </row>
    <row r="57" spans="1:17" ht="15.75" customHeight="1">
      <c r="A57" s="89" t="s">
        <v>172</v>
      </c>
      <c r="B57" s="89"/>
      <c r="C57" s="91">
        <f>C56</f>
        <v>0</v>
      </c>
      <c r="D57" s="91">
        <f t="shared" ref="D57:I57" si="44">C57+D56</f>
        <v>0</v>
      </c>
      <c r="E57" s="91">
        <f t="shared" si="44"/>
        <v>0</v>
      </c>
      <c r="F57" s="91">
        <f t="shared" si="44"/>
        <v>0</v>
      </c>
      <c r="G57" s="91">
        <f t="shared" si="44"/>
        <v>0</v>
      </c>
      <c r="H57" s="91">
        <f t="shared" si="44"/>
        <v>0</v>
      </c>
      <c r="I57" s="91">
        <f t="shared" si="44"/>
        <v>0</v>
      </c>
      <c r="J57" s="78"/>
      <c r="K57" s="91">
        <f>K56</f>
        <v>0</v>
      </c>
      <c r="L57" s="91">
        <f t="shared" ref="L57:Q57" si="45">K57+L56</f>
        <v>0</v>
      </c>
      <c r="M57" s="91">
        <f t="shared" si="45"/>
        <v>0</v>
      </c>
      <c r="N57" s="91">
        <f t="shared" si="45"/>
        <v>0</v>
      </c>
      <c r="O57" s="91">
        <f t="shared" si="45"/>
        <v>0</v>
      </c>
      <c r="P57" s="91">
        <f t="shared" si="45"/>
        <v>0</v>
      </c>
      <c r="Q57" s="91">
        <f t="shared" si="45"/>
        <v>0</v>
      </c>
    </row>
    <row r="58" spans="1:17" ht="15.75" customHeight="1">
      <c r="A58" s="89" t="s">
        <v>173</v>
      </c>
      <c r="B58" s="89"/>
      <c r="C58" s="91">
        <f t="shared" ref="C58:I58" si="46">C55-C56</f>
        <v>0</v>
      </c>
      <c r="D58" s="91">
        <f t="shared" si="46"/>
        <v>0</v>
      </c>
      <c r="E58" s="91">
        <f t="shared" si="46"/>
        <v>0</v>
      </c>
      <c r="F58" s="91">
        <f t="shared" si="46"/>
        <v>0</v>
      </c>
      <c r="G58" s="91">
        <f t="shared" si="46"/>
        <v>0</v>
      </c>
      <c r="H58" s="91">
        <f t="shared" si="46"/>
        <v>0</v>
      </c>
      <c r="I58" s="91">
        <f t="shared" si="46"/>
        <v>0</v>
      </c>
      <c r="J58" s="78"/>
      <c r="K58" s="91">
        <f t="shared" ref="K58:Q58" si="47">K55-K56</f>
        <v>0</v>
      </c>
      <c r="L58" s="91">
        <f t="shared" si="47"/>
        <v>0</v>
      </c>
      <c r="M58" s="91">
        <f t="shared" si="47"/>
        <v>0</v>
      </c>
      <c r="N58" s="91">
        <f t="shared" si="47"/>
        <v>0</v>
      </c>
      <c r="O58" s="91">
        <f t="shared" si="47"/>
        <v>0</v>
      </c>
      <c r="P58" s="91">
        <f t="shared" si="47"/>
        <v>0</v>
      </c>
      <c r="Q58" s="91">
        <f t="shared" si="47"/>
        <v>0</v>
      </c>
    </row>
    <row r="59" spans="1:17" ht="15.75" customHeight="1">
      <c r="A59" s="89"/>
      <c r="B59" s="89"/>
      <c r="C59" s="91"/>
      <c r="D59" s="91"/>
      <c r="E59" s="91"/>
      <c r="F59" s="91"/>
      <c r="G59" s="91"/>
      <c r="H59" s="91"/>
      <c r="I59" s="91"/>
      <c r="J59" s="78"/>
      <c r="K59" s="91"/>
      <c r="L59" s="91"/>
      <c r="M59" s="91"/>
      <c r="N59" s="91"/>
      <c r="O59" s="91"/>
      <c r="P59" s="91"/>
      <c r="Q59" s="91"/>
    </row>
    <row r="60" spans="1:17" ht="15.75" customHeight="1">
      <c r="A60" s="90" t="s">
        <v>177</v>
      </c>
      <c r="B60" s="89"/>
      <c r="C60" s="91"/>
      <c r="D60" s="91"/>
      <c r="E60" s="91"/>
      <c r="F60" s="91"/>
      <c r="G60" s="91"/>
      <c r="H60" s="91"/>
      <c r="I60" s="91"/>
      <c r="J60" s="78"/>
      <c r="K60" s="91"/>
      <c r="L60" s="91"/>
      <c r="M60" s="91"/>
      <c r="N60" s="91"/>
      <c r="O60" s="91"/>
      <c r="P60" s="91"/>
      <c r="Q60" s="91"/>
    </row>
    <row r="61" spans="1:17" ht="15.75" customHeight="1">
      <c r="A61" s="89" t="str">
        <f t="shared" ref="A61:A64" si="48">A55</f>
        <v>Asset Value</v>
      </c>
      <c r="B61" s="89"/>
      <c r="C61" s="91">
        <f>'1.Project Cost and MOF'!D8</f>
        <v>135300</v>
      </c>
      <c r="D61" s="91">
        <f t="shared" ref="D61:I61" si="49">C64</f>
        <v>121770</v>
      </c>
      <c r="E61" s="91">
        <f t="shared" si="49"/>
        <v>108240</v>
      </c>
      <c r="F61" s="91">
        <f t="shared" si="49"/>
        <v>94710</v>
      </c>
      <c r="G61" s="91">
        <f t="shared" si="49"/>
        <v>81180</v>
      </c>
      <c r="H61" s="91">
        <f t="shared" si="49"/>
        <v>67650</v>
      </c>
      <c r="I61" s="91">
        <f t="shared" si="49"/>
        <v>54120</v>
      </c>
      <c r="J61" s="78"/>
      <c r="K61" s="91">
        <f>C61</f>
        <v>135300</v>
      </c>
      <c r="L61" s="91">
        <f t="shared" ref="L61:Q61" si="50">K64</f>
        <v>81180</v>
      </c>
      <c r="M61" s="91">
        <f t="shared" si="50"/>
        <v>48708</v>
      </c>
      <c r="N61" s="91">
        <f t="shared" si="50"/>
        <v>29224.799999999999</v>
      </c>
      <c r="O61" s="91">
        <f t="shared" si="50"/>
        <v>17534.879999999997</v>
      </c>
      <c r="P61" s="91">
        <f t="shared" si="50"/>
        <v>10520.927999999998</v>
      </c>
      <c r="Q61" s="91">
        <f t="shared" si="50"/>
        <v>6312.5567999999985</v>
      </c>
    </row>
    <row r="62" spans="1:17" ht="15.75" customHeight="1">
      <c r="A62" s="89" t="str">
        <f t="shared" si="48"/>
        <v>Depreciation</v>
      </c>
      <c r="B62" s="89"/>
      <c r="C62" s="91">
        <f t="shared" ref="C62:I62" si="51">$C$61*$B$76</f>
        <v>13530</v>
      </c>
      <c r="D62" s="91">
        <f t="shared" si="51"/>
        <v>13530</v>
      </c>
      <c r="E62" s="91">
        <f t="shared" si="51"/>
        <v>13530</v>
      </c>
      <c r="F62" s="91">
        <f t="shared" si="51"/>
        <v>13530</v>
      </c>
      <c r="G62" s="91">
        <f t="shared" si="51"/>
        <v>13530</v>
      </c>
      <c r="H62" s="91">
        <f t="shared" si="51"/>
        <v>13530</v>
      </c>
      <c r="I62" s="91">
        <f t="shared" si="51"/>
        <v>13530</v>
      </c>
      <c r="J62" s="78"/>
      <c r="K62" s="91">
        <f t="shared" ref="K62:Q62" si="52">K61*$C$76</f>
        <v>54120</v>
      </c>
      <c r="L62" s="91">
        <f t="shared" si="52"/>
        <v>32472</v>
      </c>
      <c r="M62" s="91">
        <f t="shared" si="52"/>
        <v>19483.2</v>
      </c>
      <c r="N62" s="91">
        <f t="shared" si="52"/>
        <v>11689.92</v>
      </c>
      <c r="O62" s="91">
        <f t="shared" si="52"/>
        <v>7013.9519999999993</v>
      </c>
      <c r="P62" s="91">
        <f t="shared" si="52"/>
        <v>4208.3711999999996</v>
      </c>
      <c r="Q62" s="91">
        <f t="shared" si="52"/>
        <v>2525.0227199999995</v>
      </c>
    </row>
    <row r="63" spans="1:17" ht="15.75" customHeight="1">
      <c r="A63" s="89" t="str">
        <f t="shared" si="48"/>
        <v>Accumulated Depreciation</v>
      </c>
      <c r="B63" s="89"/>
      <c r="C63" s="91">
        <f>C62</f>
        <v>13530</v>
      </c>
      <c r="D63" s="91">
        <f t="shared" ref="D63:I63" si="53">D62+C63</f>
        <v>27060</v>
      </c>
      <c r="E63" s="91">
        <f t="shared" si="53"/>
        <v>40590</v>
      </c>
      <c r="F63" s="91">
        <f t="shared" si="53"/>
        <v>54120</v>
      </c>
      <c r="G63" s="91">
        <f t="shared" si="53"/>
        <v>67650</v>
      </c>
      <c r="H63" s="91">
        <f t="shared" si="53"/>
        <v>81180</v>
      </c>
      <c r="I63" s="91">
        <f t="shared" si="53"/>
        <v>94710</v>
      </c>
      <c r="J63" s="78"/>
      <c r="K63" s="91">
        <f>K62</f>
        <v>54120</v>
      </c>
      <c r="L63" s="91">
        <f t="shared" ref="L63:Q63" si="54">L62+K63</f>
        <v>86592</v>
      </c>
      <c r="M63" s="91">
        <f t="shared" si="54"/>
        <v>106075.2</v>
      </c>
      <c r="N63" s="91">
        <f t="shared" si="54"/>
        <v>117765.12</v>
      </c>
      <c r="O63" s="91">
        <f t="shared" si="54"/>
        <v>124779.072</v>
      </c>
      <c r="P63" s="91">
        <f t="shared" si="54"/>
        <v>128987.44319999999</v>
      </c>
      <c r="Q63" s="91">
        <f t="shared" si="54"/>
        <v>131512.46591999999</v>
      </c>
    </row>
    <row r="64" spans="1:17" ht="15.75" customHeight="1">
      <c r="A64" s="89" t="str">
        <f t="shared" si="48"/>
        <v>Net Fixed Assets</v>
      </c>
      <c r="B64" s="89"/>
      <c r="C64" s="91">
        <f>C61-C62</f>
        <v>121770</v>
      </c>
      <c r="D64" s="91">
        <f t="shared" ref="D64:I64" si="55">D61-D62</f>
        <v>108240</v>
      </c>
      <c r="E64" s="91">
        <f t="shared" si="55"/>
        <v>94710</v>
      </c>
      <c r="F64" s="91">
        <f t="shared" si="55"/>
        <v>81180</v>
      </c>
      <c r="G64" s="91">
        <f t="shared" si="55"/>
        <v>67650</v>
      </c>
      <c r="H64" s="91">
        <f t="shared" si="55"/>
        <v>54120</v>
      </c>
      <c r="I64" s="91">
        <f t="shared" si="55"/>
        <v>40590</v>
      </c>
      <c r="J64" s="78"/>
      <c r="K64" s="91">
        <f t="shared" ref="K64:Q64" si="56">K61-K62</f>
        <v>81180</v>
      </c>
      <c r="L64" s="91">
        <f t="shared" si="56"/>
        <v>48708</v>
      </c>
      <c r="M64" s="91">
        <f t="shared" si="56"/>
        <v>29224.799999999999</v>
      </c>
      <c r="N64" s="91">
        <f t="shared" si="56"/>
        <v>17534.879999999997</v>
      </c>
      <c r="O64" s="91">
        <f t="shared" si="56"/>
        <v>10520.927999999998</v>
      </c>
      <c r="P64" s="91">
        <f t="shared" si="56"/>
        <v>6312.5567999999985</v>
      </c>
      <c r="Q64" s="91">
        <f t="shared" si="56"/>
        <v>3787.534079999999</v>
      </c>
    </row>
    <row r="65" spans="1:17" ht="15.75" customHeight="1">
      <c r="A65" s="90" t="s">
        <v>178</v>
      </c>
      <c r="B65" s="90"/>
      <c r="C65" s="92">
        <f>C49+C43+C37+C55+C61</f>
        <v>23676480</v>
      </c>
      <c r="D65" s="92">
        <f t="shared" ref="D65:I65" si="57">D49+D43+D37+D55+D61</f>
        <v>22625820.105999999</v>
      </c>
      <c r="E65" s="92">
        <f t="shared" si="57"/>
        <v>21575160.212000001</v>
      </c>
      <c r="F65" s="92">
        <f t="shared" si="57"/>
        <v>20524500.318000004</v>
      </c>
      <c r="G65" s="92">
        <f t="shared" si="57"/>
        <v>19473840.424000002</v>
      </c>
      <c r="H65" s="92">
        <f t="shared" si="57"/>
        <v>18423180.530000001</v>
      </c>
      <c r="I65" s="92">
        <f t="shared" si="57"/>
        <v>17372520.636000004</v>
      </c>
      <c r="J65" s="78"/>
      <c r="K65" s="92">
        <f t="shared" ref="K65:Q65" si="58">K49+K43+K37+K55+K61</f>
        <v>23676480</v>
      </c>
      <c r="L65" s="92">
        <f t="shared" si="58"/>
        <v>20824208</v>
      </c>
      <c r="M65" s="92">
        <f t="shared" si="58"/>
        <v>18340004.300000001</v>
      </c>
      <c r="N65" s="92">
        <f t="shared" si="58"/>
        <v>16170576.905000001</v>
      </c>
      <c r="O65" s="92">
        <f t="shared" si="58"/>
        <v>14272059.39425</v>
      </c>
      <c r="P65" s="92">
        <f t="shared" si="58"/>
        <v>12607804.467612501</v>
      </c>
      <c r="Q65" s="92">
        <f t="shared" si="58"/>
        <v>11146847.497720625</v>
      </c>
    </row>
    <row r="66" spans="1:17" ht="15.75" customHeight="1">
      <c r="A66" s="90" t="s">
        <v>179</v>
      </c>
      <c r="B66" s="90"/>
      <c r="C66" s="92">
        <f t="shared" ref="C66:I66" si="59">C50+C44+C38+C56+C62</f>
        <v>1050659.8939999999</v>
      </c>
      <c r="D66" s="92">
        <f t="shared" si="59"/>
        <v>1050659.8939999999</v>
      </c>
      <c r="E66" s="92">
        <f t="shared" si="59"/>
        <v>1050659.8939999999</v>
      </c>
      <c r="F66" s="92">
        <f t="shared" si="59"/>
        <v>1050659.8939999999</v>
      </c>
      <c r="G66" s="92">
        <f t="shared" si="59"/>
        <v>1050659.8939999999</v>
      </c>
      <c r="H66" s="92">
        <f t="shared" si="59"/>
        <v>1050659.8939999999</v>
      </c>
      <c r="I66" s="92">
        <f t="shared" si="59"/>
        <v>1050659.8939999999</v>
      </c>
      <c r="J66" s="78"/>
      <c r="K66" s="92">
        <f t="shared" ref="K66:Q66" si="60">K50+K44+K38+K56+K62</f>
        <v>2852272</v>
      </c>
      <c r="L66" s="92">
        <f t="shared" si="60"/>
        <v>2484203.7000000002</v>
      </c>
      <c r="M66" s="92">
        <f t="shared" si="60"/>
        <v>2169427.395</v>
      </c>
      <c r="N66" s="92">
        <f t="shared" si="60"/>
        <v>1898517.5107499999</v>
      </c>
      <c r="O66" s="92">
        <f t="shared" si="60"/>
        <v>1664254.9266375001</v>
      </c>
      <c r="P66" s="92">
        <f t="shared" si="60"/>
        <v>1460956.9698918751</v>
      </c>
      <c r="Q66" s="92">
        <f t="shared" si="60"/>
        <v>1284045.7248330938</v>
      </c>
    </row>
    <row r="67" spans="1:17" ht="15.75" customHeight="1">
      <c r="A67" s="90" t="s">
        <v>180</v>
      </c>
      <c r="B67" s="90"/>
      <c r="C67" s="92">
        <f>C51+C45+C39+C57+C63</f>
        <v>1050659.8939999999</v>
      </c>
      <c r="D67" s="92">
        <f t="shared" ref="D67:I67" si="61">D51+D45+D39+D57+D63</f>
        <v>2101319.7879999997</v>
      </c>
      <c r="E67" s="92">
        <f t="shared" si="61"/>
        <v>3151979.682</v>
      </c>
      <c r="F67" s="92">
        <f t="shared" si="61"/>
        <v>4202639.5759999994</v>
      </c>
      <c r="G67" s="92">
        <f t="shared" si="61"/>
        <v>5253299.47</v>
      </c>
      <c r="H67" s="92">
        <f t="shared" si="61"/>
        <v>6303959.3640000001</v>
      </c>
      <c r="I67" s="92">
        <f t="shared" si="61"/>
        <v>7354619.2579999994</v>
      </c>
      <c r="J67" s="78"/>
      <c r="K67" s="92">
        <f t="shared" ref="K67:Q67" si="62">K51+K45+K39+K57+K63</f>
        <v>2852272</v>
      </c>
      <c r="L67" s="92">
        <f t="shared" si="62"/>
        <v>5336475.7</v>
      </c>
      <c r="M67" s="92">
        <f t="shared" si="62"/>
        <v>7505903.0949999997</v>
      </c>
      <c r="N67" s="92">
        <f t="shared" si="62"/>
        <v>9404420.6057500001</v>
      </c>
      <c r="O67" s="92">
        <f t="shared" si="62"/>
        <v>11068675.532387501</v>
      </c>
      <c r="P67" s="92">
        <f t="shared" si="62"/>
        <v>12529632.502279375</v>
      </c>
      <c r="Q67" s="92">
        <f t="shared" si="62"/>
        <v>13813678.22711247</v>
      </c>
    </row>
    <row r="68" spans="1:17" ht="15.75" customHeight="1">
      <c r="A68" s="90" t="s">
        <v>173</v>
      </c>
      <c r="B68" s="90"/>
      <c r="C68" s="92">
        <f t="shared" ref="C68:I68" si="63">C52+C46+C40+C58+C64</f>
        <v>22625820.105999999</v>
      </c>
      <c r="D68" s="92">
        <f t="shared" si="63"/>
        <v>21575160.212000001</v>
      </c>
      <c r="E68" s="92">
        <f t="shared" si="63"/>
        <v>20524500.318000004</v>
      </c>
      <c r="F68" s="92">
        <f t="shared" si="63"/>
        <v>19473840.424000002</v>
      </c>
      <c r="G68" s="92">
        <f t="shared" si="63"/>
        <v>18423180.530000001</v>
      </c>
      <c r="H68" s="92">
        <f t="shared" si="63"/>
        <v>17372520.636000004</v>
      </c>
      <c r="I68" s="92">
        <f t="shared" si="63"/>
        <v>16321860.742000004</v>
      </c>
      <c r="J68" s="78"/>
      <c r="K68" s="92">
        <f t="shared" ref="K68:Q68" si="64">K52+K46+K40+K58+K64</f>
        <v>20824208</v>
      </c>
      <c r="L68" s="92">
        <f t="shared" si="64"/>
        <v>18340004.300000001</v>
      </c>
      <c r="M68" s="92">
        <f t="shared" si="64"/>
        <v>16170576.905000001</v>
      </c>
      <c r="N68" s="92">
        <f t="shared" si="64"/>
        <v>14272059.39425</v>
      </c>
      <c r="O68" s="92">
        <f t="shared" si="64"/>
        <v>12607804.467612501</v>
      </c>
      <c r="P68" s="92">
        <f t="shared" si="64"/>
        <v>11146847.497720625</v>
      </c>
      <c r="Q68" s="92">
        <f t="shared" si="64"/>
        <v>9862801.7728875317</v>
      </c>
    </row>
    <row r="69" spans="1:17" ht="15.75" customHeight="1">
      <c r="A69" s="93"/>
      <c r="B69" s="93"/>
      <c r="C69" s="94"/>
      <c r="D69" s="94"/>
      <c r="E69" s="94"/>
      <c r="F69" s="94"/>
      <c r="G69" s="94"/>
      <c r="H69" s="94"/>
      <c r="I69" s="94"/>
      <c r="J69" s="73"/>
    </row>
    <row r="70" spans="1:17" ht="15.75" customHeight="1">
      <c r="A70" s="73"/>
      <c r="B70" s="73"/>
      <c r="C70" s="73"/>
      <c r="D70" s="73"/>
      <c r="E70" s="73"/>
      <c r="F70" s="73"/>
      <c r="G70" s="73"/>
      <c r="H70" s="73"/>
      <c r="I70" s="73"/>
      <c r="J70" s="73"/>
    </row>
    <row r="71" spans="1:17" ht="15.75" customHeight="1">
      <c r="A71" s="95" t="s">
        <v>181</v>
      </c>
      <c r="B71" s="96" t="s">
        <v>182</v>
      </c>
      <c r="C71" s="97" t="s">
        <v>183</v>
      </c>
      <c r="D71" s="73"/>
      <c r="E71" s="73"/>
      <c r="F71" s="73"/>
      <c r="G71" s="73"/>
      <c r="H71" s="73"/>
      <c r="I71" s="73"/>
      <c r="J71" s="73"/>
    </row>
    <row r="72" spans="1:17" ht="15.75" customHeight="1">
      <c r="A72" s="98" t="s">
        <v>184</v>
      </c>
      <c r="B72" s="96" t="s">
        <v>185</v>
      </c>
      <c r="C72" s="97" t="s">
        <v>186</v>
      </c>
      <c r="D72" s="73"/>
      <c r="E72" s="73"/>
      <c r="F72" s="73"/>
      <c r="G72" s="73"/>
      <c r="H72" s="73"/>
      <c r="I72" s="73"/>
      <c r="J72" s="73"/>
    </row>
    <row r="73" spans="1:17" ht="15.75" customHeight="1">
      <c r="A73" s="98" t="s">
        <v>119</v>
      </c>
      <c r="B73" s="75">
        <v>0</v>
      </c>
      <c r="C73" s="75">
        <v>0</v>
      </c>
      <c r="D73" s="73"/>
      <c r="E73" s="73"/>
      <c r="F73" s="73"/>
      <c r="G73" s="73"/>
      <c r="H73" s="73"/>
      <c r="I73" s="73"/>
      <c r="J73" s="73"/>
    </row>
    <row r="74" spans="1:17" ht="15.75" customHeight="1">
      <c r="A74" s="99" t="s">
        <v>169</v>
      </c>
      <c r="B74" s="75">
        <v>3.1699999999999999E-2</v>
      </c>
      <c r="C74" s="75">
        <v>0.1</v>
      </c>
      <c r="D74" s="74"/>
      <c r="E74" s="73"/>
      <c r="F74" s="73"/>
      <c r="G74" s="73"/>
      <c r="H74" s="73"/>
      <c r="I74" s="73"/>
      <c r="J74" s="73"/>
    </row>
    <row r="75" spans="1:17" ht="15.75" customHeight="1">
      <c r="A75" s="99" t="s">
        <v>175</v>
      </c>
      <c r="B75" s="75">
        <v>0.1</v>
      </c>
      <c r="C75" s="75">
        <v>0.1</v>
      </c>
      <c r="D75" s="73"/>
      <c r="E75" s="73"/>
      <c r="F75" s="73"/>
      <c r="G75" s="73"/>
      <c r="H75" s="73"/>
      <c r="I75" s="73"/>
      <c r="J75" s="73"/>
    </row>
    <row r="76" spans="1:17" ht="15.75" customHeight="1">
      <c r="A76" s="73" t="s">
        <v>187</v>
      </c>
      <c r="B76" s="75">
        <v>0.1</v>
      </c>
      <c r="C76" s="75">
        <v>0.4</v>
      </c>
      <c r="D76" s="73"/>
      <c r="E76" s="73"/>
      <c r="F76" s="73"/>
      <c r="G76" s="73"/>
      <c r="H76" s="73"/>
      <c r="I76" s="73"/>
      <c r="J76" s="73"/>
    </row>
    <row r="77" spans="1:17" ht="15.75" customHeight="1">
      <c r="A77" s="73" t="s">
        <v>188</v>
      </c>
      <c r="B77" s="75">
        <v>0.1188</v>
      </c>
      <c r="C77" s="75">
        <v>0.15</v>
      </c>
      <c r="D77" s="73"/>
      <c r="E77" s="73"/>
      <c r="F77" s="73"/>
      <c r="G77" s="73"/>
      <c r="H77" s="73"/>
      <c r="I77" s="73"/>
      <c r="J77" s="73"/>
    </row>
    <row r="78" spans="1:17" ht="15.75" customHeight="1">
      <c r="A78" s="99" t="s">
        <v>189</v>
      </c>
      <c r="B78" s="75">
        <v>6.3299999999999995E-2</v>
      </c>
      <c r="C78" s="75">
        <v>0.15</v>
      </c>
      <c r="D78" s="73"/>
      <c r="E78" s="73"/>
      <c r="F78" s="73"/>
      <c r="G78" s="73"/>
      <c r="H78" s="73"/>
      <c r="I78" s="73"/>
      <c r="J78" s="73"/>
    </row>
    <row r="79" spans="1:17" ht="15.75" customHeight="1">
      <c r="A79" s="98" t="s">
        <v>181</v>
      </c>
      <c r="B79" s="75"/>
      <c r="C79" s="74"/>
      <c r="D79" s="73"/>
      <c r="E79" s="73"/>
      <c r="F79" s="73"/>
      <c r="G79" s="73"/>
      <c r="H79" s="73"/>
      <c r="I79" s="73"/>
      <c r="J79" s="73"/>
    </row>
    <row r="80" spans="1:17" ht="15.75" customHeight="1">
      <c r="A80" s="99" t="s">
        <v>190</v>
      </c>
      <c r="B80" s="74">
        <v>0.2</v>
      </c>
      <c r="C80" s="74">
        <v>0.2</v>
      </c>
      <c r="D80" s="73"/>
      <c r="E80" s="73"/>
      <c r="F80" s="73"/>
      <c r="G80" s="73"/>
      <c r="H80" s="73"/>
      <c r="I80" s="73"/>
      <c r="J80" s="73"/>
    </row>
    <row r="81" spans="1:17" ht="15.75" customHeight="1">
      <c r="A81" s="73"/>
      <c r="B81" s="73"/>
      <c r="C81" s="73"/>
      <c r="D81" s="73"/>
      <c r="E81" s="73"/>
      <c r="F81" s="73"/>
      <c r="G81" s="73"/>
      <c r="H81" s="73"/>
      <c r="I81" s="73"/>
      <c r="J81" s="73"/>
    </row>
    <row r="82" spans="1:17" ht="15.75" customHeight="1">
      <c r="A82" s="73"/>
      <c r="B82" s="73"/>
      <c r="C82" s="73"/>
      <c r="D82" s="73"/>
      <c r="E82" s="74"/>
      <c r="F82" s="73"/>
      <c r="G82" s="73"/>
      <c r="H82" s="73"/>
      <c r="I82" s="73"/>
      <c r="J82" s="73"/>
    </row>
    <row r="83" spans="1:17" ht="15.75" customHeight="1">
      <c r="A83" s="340" t="s">
        <v>191</v>
      </c>
      <c r="B83" s="324"/>
      <c r="C83" s="324"/>
      <c r="D83" s="324"/>
      <c r="E83" s="324"/>
      <c r="F83" s="324"/>
      <c r="G83" s="324"/>
      <c r="H83" s="324"/>
      <c r="I83" s="324"/>
      <c r="J83" s="324"/>
      <c r="K83" s="100"/>
      <c r="L83" s="100"/>
      <c r="M83" s="100"/>
      <c r="N83" s="100"/>
      <c r="O83" s="100"/>
      <c r="P83" s="100"/>
      <c r="Q83" s="100"/>
    </row>
    <row r="84" spans="1:17" ht="15.75" customHeight="1">
      <c r="A84" s="101"/>
      <c r="B84" s="101"/>
      <c r="C84" s="100"/>
      <c r="D84" s="100"/>
      <c r="E84" s="100"/>
      <c r="F84" s="100"/>
      <c r="G84" s="100"/>
      <c r="H84" s="100"/>
      <c r="I84" s="100"/>
      <c r="J84" s="100"/>
      <c r="K84" s="100"/>
      <c r="L84" s="100"/>
      <c r="M84" s="100"/>
      <c r="N84" s="100"/>
      <c r="O84" s="100"/>
      <c r="P84" s="100"/>
      <c r="Q84" s="100"/>
    </row>
    <row r="85" spans="1:17" ht="15.75" customHeight="1">
      <c r="A85" s="102" t="s">
        <v>142</v>
      </c>
      <c r="B85" s="103" t="s">
        <v>192</v>
      </c>
      <c r="C85" s="104" t="s">
        <v>145</v>
      </c>
      <c r="D85" s="104" t="s">
        <v>146</v>
      </c>
      <c r="E85" s="104" t="s">
        <v>147</v>
      </c>
      <c r="F85" s="104" t="s">
        <v>148</v>
      </c>
      <c r="G85" s="104" t="s">
        <v>149</v>
      </c>
      <c r="H85" s="104" t="s">
        <v>150</v>
      </c>
      <c r="I85" s="104" t="s">
        <v>151</v>
      </c>
      <c r="J85" s="105"/>
      <c r="K85" s="105"/>
      <c r="L85" s="105"/>
      <c r="M85" s="100"/>
      <c r="N85" s="100"/>
      <c r="O85" s="100"/>
      <c r="P85" s="100"/>
      <c r="Q85" s="100"/>
    </row>
    <row r="86" spans="1:17" ht="15.75" customHeight="1">
      <c r="A86" s="106" t="s">
        <v>138</v>
      </c>
      <c r="B86" s="107">
        <v>5</v>
      </c>
      <c r="C86" s="91">
        <f>'1.Project Cost and MOF'!$D$10/5</f>
        <v>100000</v>
      </c>
      <c r="D86" s="91">
        <f>'1.Project Cost and MOF'!$D$10/5</f>
        <v>100000</v>
      </c>
      <c r="E86" s="91">
        <f>'1.Project Cost and MOF'!$D$10/5</f>
        <v>100000</v>
      </c>
      <c r="F86" s="91">
        <f>'1.Project Cost and MOF'!$D$10/5</f>
        <v>100000</v>
      </c>
      <c r="G86" s="91">
        <f>'1.Project Cost and MOF'!$D$10/5</f>
        <v>100000</v>
      </c>
      <c r="H86" s="91">
        <v>0</v>
      </c>
      <c r="I86" s="91">
        <v>0</v>
      </c>
      <c r="J86" s="105"/>
      <c r="K86" s="105"/>
      <c r="L86" s="105"/>
      <c r="M86" s="100"/>
      <c r="N86" s="100"/>
      <c r="O86" s="100"/>
      <c r="P86" s="100"/>
      <c r="Q86" s="100"/>
    </row>
    <row r="87" spans="1:17" ht="15.75" customHeight="1">
      <c r="A87" s="108" t="s">
        <v>193</v>
      </c>
      <c r="B87" s="109"/>
      <c r="C87" s="92">
        <f t="shared" ref="C87:I87" si="65">SUM(C85:C86)</f>
        <v>100000</v>
      </c>
      <c r="D87" s="92">
        <f t="shared" si="65"/>
        <v>100000</v>
      </c>
      <c r="E87" s="92">
        <f t="shared" si="65"/>
        <v>100000</v>
      </c>
      <c r="F87" s="92">
        <f t="shared" si="65"/>
        <v>100000</v>
      </c>
      <c r="G87" s="92">
        <f t="shared" si="65"/>
        <v>100000</v>
      </c>
      <c r="H87" s="92">
        <f t="shared" si="65"/>
        <v>0</v>
      </c>
      <c r="I87" s="92">
        <f t="shared" si="65"/>
        <v>0</v>
      </c>
      <c r="J87" s="110"/>
      <c r="K87" s="110"/>
      <c r="L87" s="110"/>
      <c r="M87" s="100"/>
      <c r="N87" s="100"/>
      <c r="O87" s="100"/>
      <c r="P87" s="100"/>
      <c r="Q87" s="100"/>
    </row>
    <row r="88" spans="1:17" ht="15.75" customHeight="1">
      <c r="A88" s="100"/>
      <c r="B88" s="100"/>
      <c r="C88" s="105"/>
      <c r="D88" s="105"/>
      <c r="E88" s="105"/>
      <c r="F88" s="105"/>
      <c r="G88" s="105"/>
      <c r="H88" s="105"/>
      <c r="I88" s="105"/>
      <c r="J88" s="105"/>
      <c r="K88" s="105"/>
      <c r="L88" s="105"/>
      <c r="M88" s="100"/>
      <c r="N88" s="100"/>
      <c r="O88" s="100"/>
      <c r="P88" s="100"/>
      <c r="Q88" s="100"/>
    </row>
    <row r="89" spans="1:17" ht="15.75" customHeight="1"/>
    <row r="90" spans="1:17" ht="15.75" customHeight="1"/>
    <row r="91" spans="1:17" ht="15.75" customHeight="1">
      <c r="A91" s="111"/>
      <c r="B91" s="100"/>
      <c r="C91" s="100"/>
      <c r="D91" s="100"/>
      <c r="E91" s="100"/>
      <c r="F91" s="100"/>
      <c r="G91" s="100"/>
      <c r="H91" s="100"/>
      <c r="I91" s="100"/>
      <c r="J91" s="100"/>
      <c r="K91" s="100"/>
    </row>
    <row r="92" spans="1:17" ht="15.75" customHeight="1">
      <c r="A92" s="354" t="s">
        <v>194</v>
      </c>
      <c r="B92" s="324"/>
      <c r="C92" s="324"/>
      <c r="D92" s="324"/>
      <c r="E92" s="324"/>
      <c r="F92" s="324"/>
      <c r="G92" s="324"/>
      <c r="H92" s="324"/>
      <c r="I92" s="112"/>
      <c r="J92" s="112"/>
      <c r="K92" s="112"/>
    </row>
    <row r="93" spans="1:17" ht="15.75" customHeight="1">
      <c r="A93" s="101"/>
      <c r="B93" s="100"/>
      <c r="C93" s="100"/>
      <c r="D93" s="100"/>
      <c r="E93" s="100"/>
      <c r="F93" s="100"/>
      <c r="G93" s="100"/>
      <c r="H93" s="100"/>
      <c r="I93" s="100"/>
      <c r="J93" s="100"/>
      <c r="K93" s="100"/>
    </row>
    <row r="94" spans="1:17" ht="15.75" customHeight="1">
      <c r="A94" s="76" t="s">
        <v>142</v>
      </c>
      <c r="B94" s="77" t="s">
        <v>145</v>
      </c>
      <c r="C94" s="77" t="s">
        <v>146</v>
      </c>
      <c r="D94" s="77" t="s">
        <v>147</v>
      </c>
      <c r="E94" s="77" t="s">
        <v>148</v>
      </c>
      <c r="F94" s="77" t="s">
        <v>149</v>
      </c>
      <c r="G94" s="77" t="s">
        <v>150</v>
      </c>
      <c r="H94" s="77" t="s">
        <v>151</v>
      </c>
      <c r="I94" s="112"/>
      <c r="J94" s="112"/>
      <c r="K94" s="112"/>
    </row>
    <row r="95" spans="1:17" ht="15.75" customHeight="1">
      <c r="A95" s="78" t="s">
        <v>195</v>
      </c>
      <c r="B95" s="113">
        <f>'6.Cons Profit &amp; Loss'!B49</f>
        <v>1817262.1352394295</v>
      </c>
      <c r="C95" s="113">
        <f>'6.Cons Profit &amp; Loss'!C49</f>
        <v>3448258.803582951</v>
      </c>
      <c r="D95" s="113">
        <f>'6.Cons Profit &amp; Loss'!D49</f>
        <v>4986535.5871435311</v>
      </c>
      <c r="E95" s="113">
        <f>'6.Cons Profit &amp; Loss'!E49</f>
        <v>6322942.0345467683</v>
      </c>
      <c r="F95" s="113">
        <f>'6.Cons Profit &amp; Loss'!F49</f>
        <v>7442679.5676209442</v>
      </c>
      <c r="G95" s="113">
        <f>'6.Cons Profit &amp; Loss'!G49</f>
        <v>8372792.7752100807</v>
      </c>
      <c r="H95" s="113">
        <f>'6.Cons Profit &amp; Loss'!H49</f>
        <v>9201989.7852561995</v>
      </c>
      <c r="I95" s="114"/>
      <c r="J95" s="114"/>
      <c r="K95" s="114"/>
    </row>
    <row r="96" spans="1:17" ht="15.75" customHeight="1">
      <c r="A96" s="78" t="s">
        <v>196</v>
      </c>
      <c r="B96" s="113">
        <f>'6.Cons Profit &amp; Loss'!B42</f>
        <v>1050659.8939999999</v>
      </c>
      <c r="C96" s="113">
        <f>'6.Cons Profit &amp; Loss'!C42</f>
        <v>1050659.8939999999</v>
      </c>
      <c r="D96" s="113">
        <f>'6.Cons Profit &amp; Loss'!D42</f>
        <v>1050659.8939999999</v>
      </c>
      <c r="E96" s="113">
        <f>'6.Cons Profit &amp; Loss'!E42</f>
        <v>1050659.8939999999</v>
      </c>
      <c r="F96" s="113">
        <f>'6.Cons Profit &amp; Loss'!F42</f>
        <v>1050659.8939999999</v>
      </c>
      <c r="G96" s="113">
        <f>'6.Cons Profit &amp; Loss'!G42</f>
        <v>1050659.8939999999</v>
      </c>
      <c r="H96" s="113">
        <f>'6.Cons Profit &amp; Loss'!H42</f>
        <v>1050659.8939999999</v>
      </c>
      <c r="I96" s="114"/>
      <c r="J96" s="114"/>
      <c r="K96" s="114"/>
    </row>
    <row r="97" spans="1:11" ht="15.75" customHeight="1">
      <c r="A97" s="78" t="s">
        <v>197</v>
      </c>
      <c r="B97" s="113">
        <f>'3.Other Exp &amp; Taxes'!K66</f>
        <v>2852272</v>
      </c>
      <c r="C97" s="113">
        <f>'3.Other Exp &amp; Taxes'!L66</f>
        <v>2484203.7000000002</v>
      </c>
      <c r="D97" s="113">
        <f>'3.Other Exp &amp; Taxes'!M66</f>
        <v>2169427.395</v>
      </c>
      <c r="E97" s="113">
        <f>'3.Other Exp &amp; Taxes'!N66</f>
        <v>1898517.5107499999</v>
      </c>
      <c r="F97" s="113">
        <f>'3.Other Exp &amp; Taxes'!O66</f>
        <v>1664254.9266375001</v>
      </c>
      <c r="G97" s="113">
        <f>'3.Other Exp &amp; Taxes'!P66</f>
        <v>1460956.9698918751</v>
      </c>
      <c r="H97" s="113">
        <f>'3.Other Exp &amp; Taxes'!Q66</f>
        <v>1284045.7248330938</v>
      </c>
      <c r="I97" s="114"/>
      <c r="J97" s="114"/>
      <c r="K97" s="114"/>
    </row>
    <row r="98" spans="1:11" ht="15.75" customHeight="1">
      <c r="A98" s="78" t="s">
        <v>198</v>
      </c>
      <c r="B98" s="113">
        <f>B95+B96-B97</f>
        <v>15650.029239429161</v>
      </c>
      <c r="C98" s="113">
        <f>C95+C96-C97</f>
        <v>2014714.9975829506</v>
      </c>
      <c r="D98" s="113">
        <f t="shared" ref="D98:H98" si="66">D95+D96-D97</f>
        <v>3867768.0861435304</v>
      </c>
      <c r="E98" s="113">
        <f t="shared" si="66"/>
        <v>5475084.4177967682</v>
      </c>
      <c r="F98" s="113">
        <f t="shared" si="66"/>
        <v>6829084.5349834431</v>
      </c>
      <c r="G98" s="113">
        <f t="shared" si="66"/>
        <v>7962495.699318205</v>
      </c>
      <c r="H98" s="113">
        <f t="shared" si="66"/>
        <v>8968603.9544231053</v>
      </c>
      <c r="I98" s="114"/>
      <c r="J98" s="114"/>
      <c r="K98" s="114"/>
    </row>
    <row r="99" spans="1:11" ht="15.75" customHeight="1">
      <c r="A99" s="81" t="s">
        <v>199</v>
      </c>
      <c r="B99" s="115">
        <f>B98*$B$102</f>
        <v>4069.0076022515818</v>
      </c>
      <c r="C99" s="115">
        <f>C98*$B$102</f>
        <v>523825.89937156718</v>
      </c>
      <c r="D99" s="115">
        <f t="shared" ref="D99:H99" si="67">D98*$B$102</f>
        <v>1005619.702397318</v>
      </c>
      <c r="E99" s="115">
        <f t="shared" si="67"/>
        <v>1423521.9486271597</v>
      </c>
      <c r="F99" s="115">
        <f t="shared" si="67"/>
        <v>1775561.9790956953</v>
      </c>
      <c r="G99" s="115">
        <f t="shared" si="67"/>
        <v>2070248.8818227334</v>
      </c>
      <c r="H99" s="115">
        <f t="shared" si="67"/>
        <v>2331837.0281500076</v>
      </c>
      <c r="I99" s="114"/>
      <c r="J99" s="114"/>
      <c r="K99" s="114"/>
    </row>
    <row r="100" spans="1:11" ht="15.75" customHeight="1">
      <c r="A100" s="116"/>
      <c r="B100" s="100"/>
      <c r="C100" s="100"/>
      <c r="D100" s="100"/>
      <c r="E100" s="100"/>
      <c r="F100" s="100"/>
      <c r="G100" s="100"/>
      <c r="H100" s="100"/>
      <c r="I100" s="100"/>
      <c r="J100" s="100"/>
      <c r="K100" s="100"/>
    </row>
    <row r="101" spans="1:11" ht="15.75" customHeight="1">
      <c r="A101" s="116"/>
      <c r="B101" s="105"/>
      <c r="C101" s="105"/>
      <c r="D101" s="105"/>
      <c r="E101" s="105"/>
      <c r="F101" s="105"/>
      <c r="G101" s="105"/>
      <c r="H101" s="105"/>
      <c r="I101" s="105"/>
      <c r="J101" s="105"/>
      <c r="K101" s="105"/>
    </row>
    <row r="102" spans="1:11" ht="15.75" customHeight="1">
      <c r="A102" s="117" t="s">
        <v>200</v>
      </c>
      <c r="B102" s="118">
        <v>0.26</v>
      </c>
      <c r="C102" s="105"/>
      <c r="D102" s="105"/>
      <c r="E102" s="105"/>
      <c r="F102" s="105"/>
      <c r="G102" s="105"/>
      <c r="H102" s="105"/>
      <c r="I102" s="105"/>
      <c r="J102" s="105"/>
      <c r="K102" s="105"/>
    </row>
    <row r="103" spans="1:11" ht="15.75" customHeight="1">
      <c r="A103" s="100"/>
      <c r="B103" s="100"/>
      <c r="C103" s="100"/>
      <c r="D103" s="100"/>
      <c r="E103" s="100"/>
      <c r="F103" s="100"/>
      <c r="G103" s="100"/>
      <c r="H103" s="100"/>
      <c r="I103" s="100"/>
      <c r="J103" s="100"/>
      <c r="K103" s="100"/>
    </row>
    <row r="104" spans="1:11" ht="28.5" customHeight="1">
      <c r="A104" s="355" t="s">
        <v>201</v>
      </c>
      <c r="B104" s="324"/>
      <c r="C104" s="324"/>
      <c r="D104" s="324"/>
      <c r="E104" s="324"/>
      <c r="F104" s="324"/>
      <c r="G104" s="324"/>
      <c r="H104" s="324"/>
      <c r="I104" s="105"/>
      <c r="J104" s="105"/>
      <c r="K104" s="105"/>
    </row>
  </sheetData>
  <mergeCells count="8">
    <mergeCell ref="A83:J83"/>
    <mergeCell ref="A92:H92"/>
    <mergeCell ref="A104:H104"/>
    <mergeCell ref="A2:K2"/>
    <mergeCell ref="A28:O28"/>
    <mergeCell ref="C31:I31"/>
    <mergeCell ref="K31:Q31"/>
    <mergeCell ref="A29:Q29"/>
  </mergeCells>
  <pageMargins left="0.70866141732283472" right="0.70866141732283472" top="0.74803149606299213" bottom="0.74803149606299213" header="0" footer="0"/>
  <pageSetup paperSize="9" scale="70" orientation="landscape" r:id="rId1"/>
</worksheet>
</file>

<file path=xl/worksheets/sheet5.xml><?xml version="1.0" encoding="utf-8"?>
<worksheet xmlns="http://schemas.openxmlformats.org/spreadsheetml/2006/main" xmlns:r="http://schemas.openxmlformats.org/officeDocument/2006/relationships">
  <dimension ref="A2:I100"/>
  <sheetViews>
    <sheetView view="pageBreakPreview" topLeftCell="A32" zoomScale="104" zoomScaleSheetLayoutView="104" workbookViewId="0">
      <selection activeCell="E34" sqref="E34:E45"/>
    </sheetView>
  </sheetViews>
  <sheetFormatPr defaultColWidth="14.42578125" defaultRowHeight="15" customHeight="1"/>
  <cols>
    <col min="1" max="1" width="8.7109375" customWidth="1"/>
    <col min="2" max="2" width="15.42578125" customWidth="1"/>
    <col min="3" max="3" width="28.140625" customWidth="1"/>
    <col min="4" max="4" width="14.7109375" customWidth="1"/>
    <col min="5" max="5" width="25.85546875" customWidth="1"/>
    <col min="6" max="6" width="12.140625" customWidth="1"/>
    <col min="7" max="7" width="27.28515625" customWidth="1"/>
    <col min="8" max="8" width="12.28515625" customWidth="1"/>
    <col min="9" max="9" width="11.7109375" customWidth="1"/>
    <col min="10" max="11" width="8.7109375" customWidth="1"/>
  </cols>
  <sheetData>
    <row r="2" spans="1:7" ht="18.75">
      <c r="A2" s="340" t="s">
        <v>202</v>
      </c>
      <c r="B2" s="324"/>
      <c r="C2" s="324"/>
      <c r="D2" s="324"/>
      <c r="E2" s="324"/>
      <c r="F2" s="324"/>
      <c r="G2" s="359"/>
    </row>
    <row r="3" spans="1:7">
      <c r="B3" s="48"/>
      <c r="C3" s="48"/>
      <c r="D3" s="48"/>
      <c r="E3" s="48"/>
      <c r="F3" s="48"/>
      <c r="G3" s="48"/>
    </row>
    <row r="4" spans="1:7">
      <c r="A4" s="73"/>
      <c r="B4" s="73"/>
      <c r="C4" s="73" t="s">
        <v>203</v>
      </c>
      <c r="D4" s="119">
        <f>'1.Project Cost and MOF'!E20</f>
        <v>8638120.9747197255</v>
      </c>
      <c r="E4" s="73"/>
      <c r="F4" s="73"/>
      <c r="G4" s="73"/>
    </row>
    <row r="5" spans="1:7">
      <c r="A5" s="73"/>
      <c r="B5" s="73"/>
      <c r="C5" s="73" t="s">
        <v>204</v>
      </c>
      <c r="D5" s="120">
        <v>0.12</v>
      </c>
      <c r="E5" s="73"/>
      <c r="F5" s="73"/>
      <c r="G5" s="73"/>
    </row>
    <row r="6" spans="1:7">
      <c r="A6" s="73"/>
      <c r="B6" s="73"/>
      <c r="C6" s="73" t="s">
        <v>205</v>
      </c>
      <c r="D6" s="121">
        <v>3</v>
      </c>
      <c r="E6" s="73"/>
      <c r="F6" s="73"/>
      <c r="G6" s="73"/>
    </row>
    <row r="7" spans="1:7">
      <c r="A7" s="73"/>
      <c r="B7" s="73"/>
      <c r="C7" s="73" t="s">
        <v>206</v>
      </c>
      <c r="D7" s="121">
        <v>6</v>
      </c>
      <c r="E7" s="73"/>
      <c r="F7" s="73"/>
      <c r="G7" s="73"/>
    </row>
    <row r="8" spans="1:7">
      <c r="A8" s="73"/>
      <c r="B8" s="73"/>
      <c r="C8" s="73" t="s">
        <v>207</v>
      </c>
      <c r="D8" s="122">
        <f>PMT(D5/12,(D6-(D7/12))*12,-D4)</f>
        <v>334710.88950062345</v>
      </c>
      <c r="E8" s="122"/>
      <c r="F8" s="123"/>
      <c r="G8" s="73"/>
    </row>
    <row r="9" spans="1:7">
      <c r="A9" s="76" t="s">
        <v>208</v>
      </c>
      <c r="B9" s="124" t="s">
        <v>209</v>
      </c>
      <c r="C9" s="125" t="s">
        <v>210</v>
      </c>
      <c r="D9" s="125" t="s">
        <v>211</v>
      </c>
      <c r="E9" s="125" t="s">
        <v>212</v>
      </c>
      <c r="F9" s="125" t="s">
        <v>207</v>
      </c>
      <c r="G9" s="125" t="s">
        <v>213</v>
      </c>
    </row>
    <row r="10" spans="1:7">
      <c r="A10" s="78" t="s">
        <v>214</v>
      </c>
      <c r="B10" s="78" t="s">
        <v>215</v>
      </c>
      <c r="C10" s="80">
        <f>D4</f>
        <v>8638120.9747197255</v>
      </c>
      <c r="D10" s="80">
        <f t="shared" ref="D10:D93" si="0">C10*$D$5/12</f>
        <v>86381.209747197252</v>
      </c>
      <c r="E10" s="80">
        <f t="shared" ref="E10:E93" si="1">F10-D10</f>
        <v>0</v>
      </c>
      <c r="F10" s="80">
        <f>+D10</f>
        <v>86381.209747197252</v>
      </c>
      <c r="G10" s="80">
        <f t="shared" ref="G10:G93" si="2">C10-E10</f>
        <v>8638120.9747197255</v>
      </c>
    </row>
    <row r="11" spans="1:7">
      <c r="A11" s="78"/>
      <c r="B11" s="78" t="s">
        <v>216</v>
      </c>
      <c r="C11" s="80">
        <f t="shared" ref="C11:C93" si="3">G10</f>
        <v>8638120.9747197255</v>
      </c>
      <c r="D11" s="80">
        <f t="shared" si="0"/>
        <v>86381.209747197252</v>
      </c>
      <c r="E11" s="80">
        <f t="shared" si="1"/>
        <v>0</v>
      </c>
      <c r="F11" s="80">
        <f t="shared" ref="F11:F15" si="4">+D11</f>
        <v>86381.209747197252</v>
      </c>
      <c r="G11" s="80">
        <f t="shared" si="2"/>
        <v>8638120.9747197255</v>
      </c>
    </row>
    <row r="12" spans="1:7">
      <c r="A12" s="78"/>
      <c r="B12" s="78" t="s">
        <v>217</v>
      </c>
      <c r="C12" s="80">
        <f t="shared" si="3"/>
        <v>8638120.9747197255</v>
      </c>
      <c r="D12" s="80">
        <f t="shared" si="0"/>
        <v>86381.209747197252</v>
      </c>
      <c r="E12" s="80">
        <f t="shared" si="1"/>
        <v>0</v>
      </c>
      <c r="F12" s="80">
        <f t="shared" si="4"/>
        <v>86381.209747197252</v>
      </c>
      <c r="G12" s="80">
        <f t="shared" si="2"/>
        <v>8638120.9747197255</v>
      </c>
    </row>
    <row r="13" spans="1:7">
      <c r="A13" s="78"/>
      <c r="B13" s="78" t="s">
        <v>218</v>
      </c>
      <c r="C13" s="80">
        <f t="shared" si="3"/>
        <v>8638120.9747197255</v>
      </c>
      <c r="D13" s="80">
        <f t="shared" si="0"/>
        <v>86381.209747197252</v>
      </c>
      <c r="E13" s="80">
        <f t="shared" si="1"/>
        <v>0</v>
      </c>
      <c r="F13" s="80">
        <f t="shared" si="4"/>
        <v>86381.209747197252</v>
      </c>
      <c r="G13" s="80">
        <f t="shared" si="2"/>
        <v>8638120.9747197255</v>
      </c>
    </row>
    <row r="14" spans="1:7">
      <c r="A14" s="78"/>
      <c r="B14" s="78" t="s">
        <v>219</v>
      </c>
      <c r="C14" s="80">
        <f t="shared" si="3"/>
        <v>8638120.9747197255</v>
      </c>
      <c r="D14" s="80">
        <f t="shared" si="0"/>
        <v>86381.209747197252</v>
      </c>
      <c r="E14" s="80">
        <f t="shared" si="1"/>
        <v>0</v>
      </c>
      <c r="F14" s="80">
        <f t="shared" si="4"/>
        <v>86381.209747197252</v>
      </c>
      <c r="G14" s="80">
        <f t="shared" si="2"/>
        <v>8638120.9747197255</v>
      </c>
    </row>
    <row r="15" spans="1:7">
      <c r="A15" s="78"/>
      <c r="B15" s="78" t="s">
        <v>220</v>
      </c>
      <c r="C15" s="80">
        <f t="shared" si="3"/>
        <v>8638120.9747197255</v>
      </c>
      <c r="D15" s="80">
        <f t="shared" si="0"/>
        <v>86381.209747197252</v>
      </c>
      <c r="E15" s="80">
        <f t="shared" si="1"/>
        <v>0</v>
      </c>
      <c r="F15" s="80">
        <f t="shared" si="4"/>
        <v>86381.209747197252</v>
      </c>
      <c r="G15" s="80">
        <f t="shared" si="2"/>
        <v>8638120.9747197255</v>
      </c>
    </row>
    <row r="16" spans="1:7">
      <c r="A16" s="78"/>
      <c r="B16" s="78" t="s">
        <v>221</v>
      </c>
      <c r="C16" s="80">
        <f t="shared" si="3"/>
        <v>8638120.9747197255</v>
      </c>
      <c r="D16" s="80">
        <f t="shared" si="0"/>
        <v>86381.209747197252</v>
      </c>
      <c r="E16" s="80">
        <f>F16-D16</f>
        <v>248329.6797534262</v>
      </c>
      <c r="F16" s="80">
        <f>+$D$8</f>
        <v>334710.88950062345</v>
      </c>
      <c r="G16" s="80">
        <f t="shared" si="2"/>
        <v>8389791.2949662991</v>
      </c>
    </row>
    <row r="17" spans="1:9">
      <c r="A17" s="78"/>
      <c r="B17" s="78" t="s">
        <v>222</v>
      </c>
      <c r="C17" s="80">
        <f t="shared" si="3"/>
        <v>8389791.2949662991</v>
      </c>
      <c r="D17" s="80">
        <f t="shared" si="0"/>
        <v>83897.91294966299</v>
      </c>
      <c r="E17" s="80">
        <f t="shared" si="1"/>
        <v>250812.97655096045</v>
      </c>
      <c r="F17" s="80">
        <f t="shared" ref="F17:F21" si="5">+$D$8</f>
        <v>334710.88950062345</v>
      </c>
      <c r="G17" s="80">
        <f t="shared" si="2"/>
        <v>8138978.3184153382</v>
      </c>
    </row>
    <row r="18" spans="1:9">
      <c r="A18" s="78"/>
      <c r="B18" s="78" t="s">
        <v>223</v>
      </c>
      <c r="C18" s="80">
        <f t="shared" si="3"/>
        <v>8138978.3184153382</v>
      </c>
      <c r="D18" s="80">
        <f t="shared" si="0"/>
        <v>81389.783184153377</v>
      </c>
      <c r="E18" s="80">
        <f t="shared" si="1"/>
        <v>253321.10631647008</v>
      </c>
      <c r="F18" s="80">
        <f t="shared" si="5"/>
        <v>334710.88950062345</v>
      </c>
      <c r="G18" s="80">
        <f t="shared" si="2"/>
        <v>7885657.2120988686</v>
      </c>
    </row>
    <row r="19" spans="1:9">
      <c r="A19" s="78"/>
      <c r="B19" s="78" t="s">
        <v>224</v>
      </c>
      <c r="C19" s="80">
        <f t="shared" si="3"/>
        <v>7885657.2120988686</v>
      </c>
      <c r="D19" s="80">
        <f t="shared" si="0"/>
        <v>78856.572120988683</v>
      </c>
      <c r="E19" s="80">
        <f t="shared" si="1"/>
        <v>255854.31737963477</v>
      </c>
      <c r="F19" s="80">
        <f t="shared" si="5"/>
        <v>334710.88950062345</v>
      </c>
      <c r="G19" s="80">
        <f t="shared" si="2"/>
        <v>7629802.8947192337</v>
      </c>
    </row>
    <row r="20" spans="1:9">
      <c r="A20" s="78"/>
      <c r="B20" s="78" t="s">
        <v>225</v>
      </c>
      <c r="C20" s="80">
        <f t="shared" si="3"/>
        <v>7629802.8947192337</v>
      </c>
      <c r="D20" s="80">
        <f t="shared" si="0"/>
        <v>76298.028947192332</v>
      </c>
      <c r="E20" s="80">
        <f t="shared" si="1"/>
        <v>258412.86055343112</v>
      </c>
      <c r="F20" s="80">
        <f t="shared" si="5"/>
        <v>334710.88950062345</v>
      </c>
      <c r="G20" s="80">
        <f t="shared" si="2"/>
        <v>7371390.0341658024</v>
      </c>
    </row>
    <row r="21" spans="1:9" ht="15.75" customHeight="1">
      <c r="A21" s="78"/>
      <c r="B21" s="78" t="s">
        <v>226</v>
      </c>
      <c r="C21" s="80">
        <f t="shared" si="3"/>
        <v>7371390.0341658024</v>
      </c>
      <c r="D21" s="80">
        <f t="shared" si="0"/>
        <v>73713.900341658024</v>
      </c>
      <c r="E21" s="80">
        <f t="shared" si="1"/>
        <v>260996.98915896541</v>
      </c>
      <c r="F21" s="80">
        <f t="shared" si="5"/>
        <v>334710.88950062345</v>
      </c>
      <c r="G21" s="80">
        <f t="shared" si="2"/>
        <v>7110393.0450068368</v>
      </c>
      <c r="H21" s="126"/>
      <c r="I21" s="126"/>
    </row>
    <row r="22" spans="1:9" ht="15.75" customHeight="1">
      <c r="A22" s="78" t="s">
        <v>227</v>
      </c>
      <c r="B22" s="78" t="s">
        <v>228</v>
      </c>
      <c r="C22" s="80">
        <f t="shared" si="3"/>
        <v>7110393.0450068368</v>
      </c>
      <c r="D22" s="80">
        <f t="shared" si="0"/>
        <v>71103.930450068365</v>
      </c>
      <c r="E22" s="80">
        <f t="shared" si="1"/>
        <v>263606.95905055507</v>
      </c>
      <c r="F22" s="80">
        <f t="shared" ref="F22:F45" si="6">$D$8</f>
        <v>334710.88950062345</v>
      </c>
      <c r="G22" s="80">
        <f t="shared" si="2"/>
        <v>6846786.085956282</v>
      </c>
    </row>
    <row r="23" spans="1:9" ht="15.75" customHeight="1">
      <c r="A23" s="78"/>
      <c r="B23" s="78" t="s">
        <v>229</v>
      </c>
      <c r="C23" s="80">
        <f t="shared" si="3"/>
        <v>6846786.085956282</v>
      </c>
      <c r="D23" s="80">
        <f t="shared" si="0"/>
        <v>68467.860859562817</v>
      </c>
      <c r="E23" s="80">
        <f t="shared" si="1"/>
        <v>266243.02864106063</v>
      </c>
      <c r="F23" s="80">
        <f t="shared" si="6"/>
        <v>334710.88950062345</v>
      </c>
      <c r="G23" s="80">
        <f t="shared" si="2"/>
        <v>6580543.0573152211</v>
      </c>
    </row>
    <row r="24" spans="1:9" ht="15.75" customHeight="1">
      <c r="A24" s="78"/>
      <c r="B24" s="78" t="s">
        <v>230</v>
      </c>
      <c r="C24" s="80">
        <f t="shared" si="3"/>
        <v>6580543.0573152211</v>
      </c>
      <c r="D24" s="80">
        <f t="shared" si="0"/>
        <v>65805.430573152204</v>
      </c>
      <c r="E24" s="80">
        <f t="shared" si="1"/>
        <v>268905.45892747125</v>
      </c>
      <c r="F24" s="80">
        <f t="shared" si="6"/>
        <v>334710.88950062345</v>
      </c>
      <c r="G24" s="80">
        <f t="shared" si="2"/>
        <v>6311637.5983877499</v>
      </c>
    </row>
    <row r="25" spans="1:9" ht="15.75" customHeight="1">
      <c r="A25" s="78"/>
      <c r="B25" s="78" t="s">
        <v>231</v>
      </c>
      <c r="C25" s="80">
        <f t="shared" si="3"/>
        <v>6311637.5983877499</v>
      </c>
      <c r="D25" s="80">
        <f t="shared" si="0"/>
        <v>63116.375983877493</v>
      </c>
      <c r="E25" s="80">
        <f t="shared" si="1"/>
        <v>271594.51351674594</v>
      </c>
      <c r="F25" s="80">
        <f t="shared" si="6"/>
        <v>334710.88950062345</v>
      </c>
      <c r="G25" s="80">
        <f t="shared" si="2"/>
        <v>6040043.0848710043</v>
      </c>
    </row>
    <row r="26" spans="1:9" ht="15.75" customHeight="1">
      <c r="A26" s="78"/>
      <c r="B26" s="78" t="s">
        <v>232</v>
      </c>
      <c r="C26" s="80">
        <f t="shared" si="3"/>
        <v>6040043.0848710043</v>
      </c>
      <c r="D26" s="80">
        <f t="shared" si="0"/>
        <v>60400.430848710042</v>
      </c>
      <c r="E26" s="80">
        <f t="shared" si="1"/>
        <v>274310.45865191339</v>
      </c>
      <c r="F26" s="80">
        <f t="shared" si="6"/>
        <v>334710.88950062345</v>
      </c>
      <c r="G26" s="80">
        <f t="shared" si="2"/>
        <v>5765732.626219091</v>
      </c>
    </row>
    <row r="27" spans="1:9" ht="15.75" customHeight="1">
      <c r="A27" s="78"/>
      <c r="B27" s="78" t="s">
        <v>233</v>
      </c>
      <c r="C27" s="80">
        <f t="shared" si="3"/>
        <v>5765732.626219091</v>
      </c>
      <c r="D27" s="80">
        <f t="shared" si="0"/>
        <v>57657.326262190909</v>
      </c>
      <c r="E27" s="80">
        <f t="shared" si="1"/>
        <v>277053.56323843251</v>
      </c>
      <c r="F27" s="80">
        <f t="shared" si="6"/>
        <v>334710.88950062345</v>
      </c>
      <c r="G27" s="80">
        <f t="shared" si="2"/>
        <v>5488679.0629806584</v>
      </c>
    </row>
    <row r="28" spans="1:9" ht="15.75" customHeight="1">
      <c r="A28" s="78"/>
      <c r="B28" s="78" t="s">
        <v>234</v>
      </c>
      <c r="C28" s="80">
        <f t="shared" si="3"/>
        <v>5488679.0629806584</v>
      </c>
      <c r="D28" s="80">
        <f t="shared" si="0"/>
        <v>54886.790629806579</v>
      </c>
      <c r="E28" s="80">
        <f t="shared" si="1"/>
        <v>279824.09887081687</v>
      </c>
      <c r="F28" s="80">
        <f t="shared" si="6"/>
        <v>334710.88950062345</v>
      </c>
      <c r="G28" s="80">
        <f t="shared" si="2"/>
        <v>5208854.9641098417</v>
      </c>
    </row>
    <row r="29" spans="1:9" ht="15.75" customHeight="1">
      <c r="A29" s="78"/>
      <c r="B29" s="78" t="s">
        <v>235</v>
      </c>
      <c r="C29" s="80">
        <f t="shared" si="3"/>
        <v>5208854.9641098417</v>
      </c>
      <c r="D29" s="80">
        <f t="shared" si="0"/>
        <v>52088.54964109842</v>
      </c>
      <c r="E29" s="80">
        <f t="shared" si="1"/>
        <v>282622.33985952503</v>
      </c>
      <c r="F29" s="80">
        <f t="shared" si="6"/>
        <v>334710.88950062345</v>
      </c>
      <c r="G29" s="80">
        <f t="shared" si="2"/>
        <v>4926232.624250317</v>
      </c>
    </row>
    <row r="30" spans="1:9" ht="15.75" customHeight="1">
      <c r="A30" s="78"/>
      <c r="B30" s="78" t="s">
        <v>236</v>
      </c>
      <c r="C30" s="80">
        <f t="shared" si="3"/>
        <v>4926232.624250317</v>
      </c>
      <c r="D30" s="80">
        <f t="shared" si="0"/>
        <v>49262.326242503164</v>
      </c>
      <c r="E30" s="80">
        <f t="shared" si="1"/>
        <v>285448.56325812027</v>
      </c>
      <c r="F30" s="80">
        <f t="shared" si="6"/>
        <v>334710.88950062345</v>
      </c>
      <c r="G30" s="80">
        <f t="shared" si="2"/>
        <v>4640784.0609921971</v>
      </c>
    </row>
    <row r="31" spans="1:9" ht="15.75" customHeight="1">
      <c r="A31" s="78"/>
      <c r="B31" s="78" t="s">
        <v>237</v>
      </c>
      <c r="C31" s="80">
        <f t="shared" si="3"/>
        <v>4640784.0609921971</v>
      </c>
      <c r="D31" s="80">
        <f t="shared" si="0"/>
        <v>46407.840609921965</v>
      </c>
      <c r="E31" s="80">
        <f t="shared" si="1"/>
        <v>288303.0488907015</v>
      </c>
      <c r="F31" s="80">
        <f t="shared" si="6"/>
        <v>334710.88950062345</v>
      </c>
      <c r="G31" s="80">
        <f t="shared" si="2"/>
        <v>4352481.0121014956</v>
      </c>
    </row>
    <row r="32" spans="1:9" ht="15.75" customHeight="1">
      <c r="A32" s="78"/>
      <c r="B32" s="78" t="s">
        <v>238</v>
      </c>
      <c r="C32" s="80">
        <f t="shared" si="3"/>
        <v>4352481.0121014956</v>
      </c>
      <c r="D32" s="80">
        <f t="shared" si="0"/>
        <v>43524.810121014954</v>
      </c>
      <c r="E32" s="80">
        <f t="shared" si="1"/>
        <v>291186.07937960851</v>
      </c>
      <c r="F32" s="80">
        <f t="shared" si="6"/>
        <v>334710.88950062345</v>
      </c>
      <c r="G32" s="80">
        <f t="shared" si="2"/>
        <v>4061294.9327218872</v>
      </c>
    </row>
    <row r="33" spans="1:9" ht="15.75" customHeight="1">
      <c r="A33" s="78"/>
      <c r="B33" s="78" t="s">
        <v>239</v>
      </c>
      <c r="C33" s="80">
        <f t="shared" si="3"/>
        <v>4061294.9327218872</v>
      </c>
      <c r="D33" s="80">
        <f t="shared" si="0"/>
        <v>40612.94932721887</v>
      </c>
      <c r="E33" s="80">
        <f t="shared" si="1"/>
        <v>294097.94017340458</v>
      </c>
      <c r="F33" s="80">
        <f t="shared" si="6"/>
        <v>334710.88950062345</v>
      </c>
      <c r="G33" s="80">
        <f t="shared" si="2"/>
        <v>3767196.9925484825</v>
      </c>
      <c r="H33" s="126"/>
      <c r="I33" s="126"/>
    </row>
    <row r="34" spans="1:9" ht="15.75" customHeight="1">
      <c r="A34" s="78" t="s">
        <v>240</v>
      </c>
      <c r="B34" s="78" t="s">
        <v>241</v>
      </c>
      <c r="C34" s="80">
        <f t="shared" si="3"/>
        <v>3767196.9925484825</v>
      </c>
      <c r="D34" s="80">
        <f t="shared" si="0"/>
        <v>37671.969925484824</v>
      </c>
      <c r="E34" s="80">
        <f t="shared" si="1"/>
        <v>297038.9195751386</v>
      </c>
      <c r="F34" s="80">
        <f t="shared" si="6"/>
        <v>334710.88950062345</v>
      </c>
      <c r="G34" s="80">
        <f t="shared" si="2"/>
        <v>3470158.072973344</v>
      </c>
    </row>
    <row r="35" spans="1:9" ht="15.75" customHeight="1">
      <c r="A35" s="78"/>
      <c r="B35" s="78" t="s">
        <v>242</v>
      </c>
      <c r="C35" s="80">
        <f t="shared" si="3"/>
        <v>3470158.072973344</v>
      </c>
      <c r="D35" s="80">
        <f t="shared" si="0"/>
        <v>34701.58072973344</v>
      </c>
      <c r="E35" s="80">
        <f t="shared" si="1"/>
        <v>300009.30877089</v>
      </c>
      <c r="F35" s="80">
        <f t="shared" si="6"/>
        <v>334710.88950062345</v>
      </c>
      <c r="G35" s="80">
        <f t="shared" si="2"/>
        <v>3170148.7642024541</v>
      </c>
    </row>
    <row r="36" spans="1:9" ht="15.75" customHeight="1">
      <c r="A36" s="78"/>
      <c r="B36" s="78" t="s">
        <v>243</v>
      </c>
      <c r="C36" s="80">
        <f t="shared" si="3"/>
        <v>3170148.7642024541</v>
      </c>
      <c r="D36" s="80">
        <f t="shared" si="0"/>
        <v>31701.487642024542</v>
      </c>
      <c r="E36" s="80">
        <f t="shared" si="1"/>
        <v>303009.40185859893</v>
      </c>
      <c r="F36" s="80">
        <f t="shared" si="6"/>
        <v>334710.88950062345</v>
      </c>
      <c r="G36" s="80">
        <f t="shared" si="2"/>
        <v>2867139.3623438552</v>
      </c>
    </row>
    <row r="37" spans="1:9" ht="15.75" customHeight="1">
      <c r="A37" s="78"/>
      <c r="B37" s="78" t="s">
        <v>244</v>
      </c>
      <c r="C37" s="80">
        <f t="shared" si="3"/>
        <v>2867139.3623438552</v>
      </c>
      <c r="D37" s="80">
        <f t="shared" si="0"/>
        <v>28671.393623438551</v>
      </c>
      <c r="E37" s="80">
        <f t="shared" si="1"/>
        <v>306039.49587718491</v>
      </c>
      <c r="F37" s="80">
        <f t="shared" si="6"/>
        <v>334710.88950062345</v>
      </c>
      <c r="G37" s="80">
        <f t="shared" si="2"/>
        <v>2561099.8664666703</v>
      </c>
    </row>
    <row r="38" spans="1:9" ht="15.75" customHeight="1">
      <c r="A38" s="78"/>
      <c r="B38" s="78" t="s">
        <v>245</v>
      </c>
      <c r="C38" s="80">
        <f t="shared" si="3"/>
        <v>2561099.8664666703</v>
      </c>
      <c r="D38" s="80">
        <f t="shared" si="0"/>
        <v>25610.998664666698</v>
      </c>
      <c r="E38" s="80">
        <f t="shared" si="1"/>
        <v>309099.89083595673</v>
      </c>
      <c r="F38" s="80">
        <f t="shared" si="6"/>
        <v>334710.88950062345</v>
      </c>
      <c r="G38" s="80">
        <f t="shared" si="2"/>
        <v>2251999.9756307136</v>
      </c>
    </row>
    <row r="39" spans="1:9" ht="15.75" customHeight="1">
      <c r="A39" s="78"/>
      <c r="B39" s="78" t="s">
        <v>246</v>
      </c>
      <c r="C39" s="80">
        <f t="shared" si="3"/>
        <v>2251999.9756307136</v>
      </c>
      <c r="D39" s="80">
        <f t="shared" si="0"/>
        <v>22519.999756307137</v>
      </c>
      <c r="E39" s="80">
        <f t="shared" si="1"/>
        <v>312190.88974431634</v>
      </c>
      <c r="F39" s="80">
        <f t="shared" si="6"/>
        <v>334710.88950062345</v>
      </c>
      <c r="G39" s="80">
        <f t="shared" si="2"/>
        <v>1939809.0858863974</v>
      </c>
    </row>
    <row r="40" spans="1:9" ht="15.75" customHeight="1">
      <c r="A40" s="78"/>
      <c r="B40" s="78" t="s">
        <v>247</v>
      </c>
      <c r="C40" s="80">
        <f t="shared" si="3"/>
        <v>1939809.0858863974</v>
      </c>
      <c r="D40" s="80">
        <f t="shared" si="0"/>
        <v>19398.090858863972</v>
      </c>
      <c r="E40" s="80">
        <f t="shared" si="1"/>
        <v>315312.79864175949</v>
      </c>
      <c r="F40" s="80">
        <f t="shared" si="6"/>
        <v>334710.88950062345</v>
      </c>
      <c r="G40" s="80">
        <f t="shared" si="2"/>
        <v>1624496.287244638</v>
      </c>
    </row>
    <row r="41" spans="1:9" ht="15.75" customHeight="1">
      <c r="A41" s="78"/>
      <c r="B41" s="78" t="s">
        <v>248</v>
      </c>
      <c r="C41" s="80">
        <f t="shared" si="3"/>
        <v>1624496.287244638</v>
      </c>
      <c r="D41" s="80">
        <f t="shared" si="0"/>
        <v>16244.962872446378</v>
      </c>
      <c r="E41" s="80">
        <f t="shared" si="1"/>
        <v>318465.92662817705</v>
      </c>
      <c r="F41" s="80">
        <f t="shared" si="6"/>
        <v>334710.88950062345</v>
      </c>
      <c r="G41" s="80">
        <f t="shared" si="2"/>
        <v>1306030.3606164609</v>
      </c>
    </row>
    <row r="42" spans="1:9" ht="15.75" customHeight="1">
      <c r="A42" s="78"/>
      <c r="B42" s="78" t="s">
        <v>249</v>
      </c>
      <c r="C42" s="80">
        <f t="shared" si="3"/>
        <v>1306030.3606164609</v>
      </c>
      <c r="D42" s="80">
        <f t="shared" si="0"/>
        <v>13060.303606164607</v>
      </c>
      <c r="E42" s="80">
        <f t="shared" si="1"/>
        <v>321650.58589445887</v>
      </c>
      <c r="F42" s="80">
        <f t="shared" si="6"/>
        <v>334710.88950062345</v>
      </c>
      <c r="G42" s="80">
        <f t="shared" si="2"/>
        <v>984379.77472200198</v>
      </c>
    </row>
    <row r="43" spans="1:9" ht="15.75" customHeight="1">
      <c r="A43" s="78"/>
      <c r="B43" s="78" t="s">
        <v>250</v>
      </c>
      <c r="C43" s="80">
        <f t="shared" si="3"/>
        <v>984379.77472200198</v>
      </c>
      <c r="D43" s="80">
        <f t="shared" si="0"/>
        <v>9843.79774722002</v>
      </c>
      <c r="E43" s="80">
        <f t="shared" si="1"/>
        <v>324867.09175340342</v>
      </c>
      <c r="F43" s="80">
        <f t="shared" si="6"/>
        <v>334710.88950062345</v>
      </c>
      <c r="G43" s="80">
        <f t="shared" si="2"/>
        <v>659512.68296859856</v>
      </c>
    </row>
    <row r="44" spans="1:9" ht="15.75" customHeight="1">
      <c r="A44" s="78"/>
      <c r="B44" s="78" t="s">
        <v>251</v>
      </c>
      <c r="C44" s="80">
        <f t="shared" si="3"/>
        <v>659512.68296859856</v>
      </c>
      <c r="D44" s="80">
        <f t="shared" si="0"/>
        <v>6595.1268296859853</v>
      </c>
      <c r="E44" s="80">
        <f t="shared" si="1"/>
        <v>328115.76267093746</v>
      </c>
      <c r="F44" s="80">
        <f t="shared" si="6"/>
        <v>334710.88950062345</v>
      </c>
      <c r="G44" s="80">
        <f t="shared" si="2"/>
        <v>331396.9202976611</v>
      </c>
    </row>
    <row r="45" spans="1:9" ht="15.75" customHeight="1">
      <c r="A45" s="78"/>
      <c r="B45" s="78" t="s">
        <v>252</v>
      </c>
      <c r="C45" s="80">
        <f t="shared" si="3"/>
        <v>331396.9202976611</v>
      </c>
      <c r="D45" s="80">
        <f t="shared" si="0"/>
        <v>3313.9692029766106</v>
      </c>
      <c r="E45" s="80">
        <f t="shared" si="1"/>
        <v>331396.92029764684</v>
      </c>
      <c r="F45" s="80">
        <f t="shared" si="6"/>
        <v>334710.88950062345</v>
      </c>
      <c r="G45" s="80">
        <f t="shared" si="2"/>
        <v>1.4260876923799515E-8</v>
      </c>
      <c r="H45" s="126"/>
      <c r="I45" s="126"/>
    </row>
    <row r="46" spans="1:9" ht="15.75" customHeight="1">
      <c r="A46" s="78" t="s">
        <v>253</v>
      </c>
      <c r="B46" s="78" t="s">
        <v>254</v>
      </c>
      <c r="C46" s="80">
        <f t="shared" si="3"/>
        <v>1.4260876923799515E-8</v>
      </c>
      <c r="D46" s="80">
        <f t="shared" si="0"/>
        <v>1.4260876923799513E-10</v>
      </c>
      <c r="E46" s="80">
        <f>F46-D46</f>
        <v>-1.4260876923799513E-10</v>
      </c>
      <c r="F46" s="80">
        <v>0</v>
      </c>
      <c r="G46" s="80">
        <f t="shared" si="2"/>
        <v>1.4403485693037509E-8</v>
      </c>
    </row>
    <row r="47" spans="1:9" ht="15.75" customHeight="1">
      <c r="A47" s="78"/>
      <c r="B47" s="78" t="s">
        <v>255</v>
      </c>
      <c r="C47" s="80">
        <f t="shared" si="3"/>
        <v>1.4403485693037509E-8</v>
      </c>
      <c r="D47" s="80">
        <f t="shared" si="0"/>
        <v>1.4403485693037509E-10</v>
      </c>
      <c r="E47" s="80">
        <f t="shared" si="1"/>
        <v>-1.4403485693037509E-10</v>
      </c>
      <c r="F47" s="80">
        <v>0</v>
      </c>
      <c r="G47" s="80">
        <f t="shared" si="2"/>
        <v>1.4547520549967885E-8</v>
      </c>
    </row>
    <row r="48" spans="1:9" ht="15.75" customHeight="1">
      <c r="A48" s="78"/>
      <c r="B48" s="78" t="s">
        <v>256</v>
      </c>
      <c r="C48" s="80">
        <f t="shared" si="3"/>
        <v>1.4547520549967885E-8</v>
      </c>
      <c r="D48" s="80">
        <f t="shared" si="0"/>
        <v>1.4547520549967883E-10</v>
      </c>
      <c r="E48" s="80">
        <f t="shared" si="1"/>
        <v>-1.4547520549967883E-10</v>
      </c>
      <c r="F48" s="80">
        <v>0</v>
      </c>
      <c r="G48" s="80">
        <f t="shared" si="2"/>
        <v>1.4692995755467564E-8</v>
      </c>
    </row>
    <row r="49" spans="1:9" ht="15.75" customHeight="1">
      <c r="A49" s="78"/>
      <c r="B49" s="78" t="s">
        <v>257</v>
      </c>
      <c r="C49" s="80">
        <f t="shared" si="3"/>
        <v>1.4692995755467564E-8</v>
      </c>
      <c r="D49" s="80">
        <f t="shared" si="0"/>
        <v>1.4692995755467563E-10</v>
      </c>
      <c r="E49" s="80">
        <f t="shared" si="1"/>
        <v>-1.4692995755467563E-10</v>
      </c>
      <c r="F49" s="80">
        <v>0</v>
      </c>
      <c r="G49" s="80">
        <f t="shared" si="2"/>
        <v>1.4839925713022239E-8</v>
      </c>
    </row>
    <row r="50" spans="1:9" ht="15.75" customHeight="1">
      <c r="A50" s="78"/>
      <c r="B50" s="78" t="s">
        <v>258</v>
      </c>
      <c r="C50" s="80">
        <f t="shared" si="3"/>
        <v>1.4839925713022239E-8</v>
      </c>
      <c r="D50" s="80">
        <f t="shared" si="0"/>
        <v>1.4839925713022238E-10</v>
      </c>
      <c r="E50" s="80">
        <f t="shared" si="1"/>
        <v>-1.4839925713022238E-10</v>
      </c>
      <c r="F50" s="80">
        <v>0</v>
      </c>
      <c r="G50" s="80">
        <f t="shared" si="2"/>
        <v>1.4988324970152461E-8</v>
      </c>
    </row>
    <row r="51" spans="1:9" ht="15.75" customHeight="1">
      <c r="A51" s="78"/>
      <c r="B51" s="78" t="s">
        <v>259</v>
      </c>
      <c r="C51" s="80">
        <f t="shared" si="3"/>
        <v>1.4988324970152461E-8</v>
      </c>
      <c r="D51" s="80">
        <f t="shared" si="0"/>
        <v>1.498832497015246E-10</v>
      </c>
      <c r="E51" s="80">
        <f t="shared" si="1"/>
        <v>-1.498832497015246E-10</v>
      </c>
      <c r="F51" s="80">
        <v>0</v>
      </c>
      <c r="G51" s="80">
        <f t="shared" si="2"/>
        <v>1.5138208219853986E-8</v>
      </c>
    </row>
    <row r="52" spans="1:9" ht="15.75" customHeight="1">
      <c r="A52" s="78"/>
      <c r="B52" s="78" t="s">
        <v>260</v>
      </c>
      <c r="C52" s="80">
        <f t="shared" si="3"/>
        <v>1.5138208219853986E-8</v>
      </c>
      <c r="D52" s="80">
        <f t="shared" si="0"/>
        <v>1.5138208219853986E-10</v>
      </c>
      <c r="E52" s="80">
        <f t="shared" si="1"/>
        <v>-1.5138208219853986E-10</v>
      </c>
      <c r="F52" s="80">
        <v>0</v>
      </c>
      <c r="G52" s="80">
        <f t="shared" si="2"/>
        <v>1.5289590302052526E-8</v>
      </c>
    </row>
    <row r="53" spans="1:9" ht="15.75" customHeight="1">
      <c r="A53" s="78"/>
      <c r="B53" s="78" t="s">
        <v>261</v>
      </c>
      <c r="C53" s="80">
        <f t="shared" si="3"/>
        <v>1.5289590302052526E-8</v>
      </c>
      <c r="D53" s="80">
        <f t="shared" si="0"/>
        <v>1.5289590302052525E-10</v>
      </c>
      <c r="E53" s="80">
        <f t="shared" si="1"/>
        <v>-1.5289590302052525E-10</v>
      </c>
      <c r="F53" s="80">
        <v>0</v>
      </c>
      <c r="G53" s="80">
        <f t="shared" si="2"/>
        <v>1.5442486205073052E-8</v>
      </c>
    </row>
    <row r="54" spans="1:9" ht="15.75" customHeight="1">
      <c r="A54" s="78"/>
      <c r="B54" s="78" t="s">
        <v>262</v>
      </c>
      <c r="C54" s="80">
        <f t="shared" si="3"/>
        <v>1.5442486205073052E-8</v>
      </c>
      <c r="D54" s="80">
        <f t="shared" si="0"/>
        <v>1.5442486205073052E-10</v>
      </c>
      <c r="E54" s="80">
        <f t="shared" si="1"/>
        <v>-1.5442486205073052E-10</v>
      </c>
      <c r="F54" s="80">
        <v>0</v>
      </c>
      <c r="G54" s="80">
        <f t="shared" si="2"/>
        <v>1.5596911067123783E-8</v>
      </c>
    </row>
    <row r="55" spans="1:9" ht="15.75" customHeight="1">
      <c r="A55" s="78"/>
      <c r="B55" s="78" t="s">
        <v>263</v>
      </c>
      <c r="C55" s="80">
        <f t="shared" si="3"/>
        <v>1.5596911067123783E-8</v>
      </c>
      <c r="D55" s="80">
        <f t="shared" si="0"/>
        <v>1.5596911067123783E-10</v>
      </c>
      <c r="E55" s="80">
        <f t="shared" si="1"/>
        <v>-1.5596911067123783E-10</v>
      </c>
      <c r="F55" s="80">
        <v>0</v>
      </c>
      <c r="G55" s="80">
        <f t="shared" si="2"/>
        <v>1.5752880177795022E-8</v>
      </c>
    </row>
    <row r="56" spans="1:9" ht="15.75" customHeight="1">
      <c r="A56" s="78"/>
      <c r="B56" s="78" t="s">
        <v>264</v>
      </c>
      <c r="C56" s="80">
        <f t="shared" si="3"/>
        <v>1.5752880177795022E-8</v>
      </c>
      <c r="D56" s="80">
        <f t="shared" si="0"/>
        <v>1.5752880177795021E-10</v>
      </c>
      <c r="E56" s="80">
        <f t="shared" si="1"/>
        <v>-1.5752880177795021E-10</v>
      </c>
      <c r="F56" s="80">
        <v>0</v>
      </c>
      <c r="G56" s="80">
        <f t="shared" si="2"/>
        <v>1.5910408979572973E-8</v>
      </c>
    </row>
    <row r="57" spans="1:9" ht="15.75" customHeight="1">
      <c r="A57" s="78"/>
      <c r="B57" s="78" t="s">
        <v>265</v>
      </c>
      <c r="C57" s="80">
        <f t="shared" si="3"/>
        <v>1.5910408979572973E-8</v>
      </c>
      <c r="D57" s="80">
        <f t="shared" si="0"/>
        <v>1.5910408979572973E-10</v>
      </c>
      <c r="E57" s="80">
        <f t="shared" si="1"/>
        <v>-1.5910408979572973E-10</v>
      </c>
      <c r="F57" s="80">
        <v>0</v>
      </c>
      <c r="G57" s="80">
        <f t="shared" si="2"/>
        <v>1.6069513069368704E-8</v>
      </c>
      <c r="H57" s="126"/>
      <c r="I57" s="126"/>
    </row>
    <row r="58" spans="1:9" ht="15.75" customHeight="1">
      <c r="A58" s="78" t="s">
        <v>266</v>
      </c>
      <c r="B58" s="78" t="s">
        <v>267</v>
      </c>
      <c r="C58" s="80">
        <f t="shared" si="3"/>
        <v>1.6069513069368704E-8</v>
      </c>
      <c r="D58" s="80">
        <f t="shared" si="0"/>
        <v>1.6069513069368702E-10</v>
      </c>
      <c r="E58" s="80">
        <f t="shared" si="1"/>
        <v>-1.6069513069368702E-10</v>
      </c>
      <c r="F58" s="80">
        <v>0</v>
      </c>
      <c r="G58" s="80">
        <f t="shared" si="2"/>
        <v>1.623020820006239E-8</v>
      </c>
    </row>
    <row r="59" spans="1:9" ht="15.75" customHeight="1">
      <c r="A59" s="78"/>
      <c r="B59" s="78" t="s">
        <v>268</v>
      </c>
      <c r="C59" s="80">
        <f t="shared" si="3"/>
        <v>1.623020820006239E-8</v>
      </c>
      <c r="D59" s="80">
        <f t="shared" si="0"/>
        <v>1.623020820006239E-10</v>
      </c>
      <c r="E59" s="80">
        <f t="shared" si="1"/>
        <v>-1.623020820006239E-10</v>
      </c>
      <c r="F59" s="80">
        <v>0</v>
      </c>
      <c r="G59" s="80">
        <f t="shared" si="2"/>
        <v>1.6392510282063013E-8</v>
      </c>
    </row>
    <row r="60" spans="1:9" ht="15.75" customHeight="1">
      <c r="A60" s="78"/>
      <c r="B60" s="78" t="s">
        <v>269</v>
      </c>
      <c r="C60" s="80">
        <f t="shared" si="3"/>
        <v>1.6392510282063013E-8</v>
      </c>
      <c r="D60" s="80">
        <f t="shared" si="0"/>
        <v>1.6392510282063012E-10</v>
      </c>
      <c r="E60" s="80">
        <f t="shared" si="1"/>
        <v>-1.6392510282063012E-10</v>
      </c>
      <c r="F60" s="80">
        <v>0</v>
      </c>
      <c r="G60" s="80">
        <f t="shared" si="2"/>
        <v>1.6556435384883644E-8</v>
      </c>
    </row>
    <row r="61" spans="1:9" ht="15.75" customHeight="1">
      <c r="A61" s="78"/>
      <c r="B61" s="78" t="s">
        <v>270</v>
      </c>
      <c r="C61" s="80">
        <f t="shared" si="3"/>
        <v>1.6556435384883644E-8</v>
      </c>
      <c r="D61" s="80">
        <f t="shared" si="0"/>
        <v>1.6556435384883645E-10</v>
      </c>
      <c r="E61" s="80">
        <f t="shared" si="1"/>
        <v>-1.6556435384883645E-10</v>
      </c>
      <c r="F61" s="80">
        <v>0</v>
      </c>
      <c r="G61" s="80">
        <f t="shared" si="2"/>
        <v>1.6721999738732481E-8</v>
      </c>
    </row>
    <row r="62" spans="1:9" ht="15.75" customHeight="1">
      <c r="A62" s="78"/>
      <c r="B62" s="78" t="s">
        <v>271</v>
      </c>
      <c r="C62" s="80">
        <f t="shared" si="3"/>
        <v>1.6721999738732481E-8</v>
      </c>
      <c r="D62" s="80">
        <f t="shared" si="0"/>
        <v>1.672199973873248E-10</v>
      </c>
      <c r="E62" s="80">
        <f t="shared" si="1"/>
        <v>-1.672199973873248E-10</v>
      </c>
      <c r="F62" s="80">
        <v>0</v>
      </c>
      <c r="G62" s="80">
        <f t="shared" si="2"/>
        <v>1.6889219736119806E-8</v>
      </c>
    </row>
    <row r="63" spans="1:9" ht="15.75" customHeight="1">
      <c r="A63" s="78"/>
      <c r="B63" s="78" t="s">
        <v>272</v>
      </c>
      <c r="C63" s="80">
        <f t="shared" si="3"/>
        <v>1.6889219736119806E-8</v>
      </c>
      <c r="D63" s="80">
        <f t="shared" si="0"/>
        <v>1.6889219736119808E-10</v>
      </c>
      <c r="E63" s="80">
        <f t="shared" si="1"/>
        <v>-1.6889219736119808E-10</v>
      </c>
      <c r="F63" s="80">
        <v>0</v>
      </c>
      <c r="G63" s="80">
        <f t="shared" si="2"/>
        <v>1.7058111933481006E-8</v>
      </c>
    </row>
    <row r="64" spans="1:9" ht="15.75" customHeight="1">
      <c r="A64" s="78"/>
      <c r="B64" s="78" t="s">
        <v>273</v>
      </c>
      <c r="C64" s="80">
        <f t="shared" si="3"/>
        <v>1.7058111933481006E-8</v>
      </c>
      <c r="D64" s="80">
        <f t="shared" si="0"/>
        <v>1.7058111933481006E-10</v>
      </c>
      <c r="E64" s="80">
        <f t="shared" si="1"/>
        <v>-1.7058111933481006E-10</v>
      </c>
      <c r="F64" s="80">
        <v>0</v>
      </c>
      <c r="G64" s="80">
        <f t="shared" si="2"/>
        <v>1.7228693052815816E-8</v>
      </c>
    </row>
    <row r="65" spans="1:9" ht="15.75" customHeight="1">
      <c r="A65" s="78"/>
      <c r="B65" s="78" t="s">
        <v>274</v>
      </c>
      <c r="C65" s="80">
        <f t="shared" si="3"/>
        <v>1.7228693052815816E-8</v>
      </c>
      <c r="D65" s="80">
        <f t="shared" si="0"/>
        <v>1.7228693052815816E-10</v>
      </c>
      <c r="E65" s="80">
        <f t="shared" si="1"/>
        <v>-1.7228693052815816E-10</v>
      </c>
      <c r="F65" s="80">
        <v>0</v>
      </c>
      <c r="G65" s="80">
        <f t="shared" si="2"/>
        <v>1.7400979983343976E-8</v>
      </c>
    </row>
    <row r="66" spans="1:9" ht="15.75" customHeight="1">
      <c r="A66" s="78"/>
      <c r="B66" s="78" t="s">
        <v>275</v>
      </c>
      <c r="C66" s="80">
        <f t="shared" si="3"/>
        <v>1.7400979983343976E-8</v>
      </c>
      <c r="D66" s="80">
        <f t="shared" si="0"/>
        <v>1.7400979983343975E-10</v>
      </c>
      <c r="E66" s="80">
        <f t="shared" si="1"/>
        <v>-1.7400979983343975E-10</v>
      </c>
      <c r="F66" s="80">
        <v>0</v>
      </c>
      <c r="G66" s="80">
        <f t="shared" si="2"/>
        <v>1.7574989783177416E-8</v>
      </c>
    </row>
    <row r="67" spans="1:9" ht="15.75" customHeight="1">
      <c r="A67" s="78"/>
      <c r="B67" s="78" t="s">
        <v>276</v>
      </c>
      <c r="C67" s="80">
        <f t="shared" si="3"/>
        <v>1.7574989783177416E-8</v>
      </c>
      <c r="D67" s="80">
        <f t="shared" si="0"/>
        <v>1.7574989783177415E-10</v>
      </c>
      <c r="E67" s="80">
        <f t="shared" si="1"/>
        <v>-1.7574989783177415E-10</v>
      </c>
      <c r="F67" s="80">
        <v>0</v>
      </c>
      <c r="G67" s="80">
        <f t="shared" si="2"/>
        <v>1.775073968100919E-8</v>
      </c>
    </row>
    <row r="68" spans="1:9" ht="15.75" customHeight="1">
      <c r="A68" s="78"/>
      <c r="B68" s="78" t="s">
        <v>277</v>
      </c>
      <c r="C68" s="80">
        <f t="shared" si="3"/>
        <v>1.775073968100919E-8</v>
      </c>
      <c r="D68" s="80">
        <f t="shared" si="0"/>
        <v>1.7750739681009187E-10</v>
      </c>
      <c r="E68" s="80">
        <f t="shared" si="1"/>
        <v>-1.7750739681009187E-10</v>
      </c>
      <c r="F68" s="80">
        <v>0</v>
      </c>
      <c r="G68" s="80">
        <f t="shared" si="2"/>
        <v>1.7928247077819282E-8</v>
      </c>
    </row>
    <row r="69" spans="1:9" ht="15.75" customHeight="1">
      <c r="A69" s="78"/>
      <c r="B69" s="78" t="s">
        <v>278</v>
      </c>
      <c r="C69" s="80">
        <f t="shared" si="3"/>
        <v>1.7928247077819282E-8</v>
      </c>
      <c r="D69" s="80">
        <f t="shared" si="0"/>
        <v>1.792824707781928E-10</v>
      </c>
      <c r="E69" s="80">
        <f t="shared" si="1"/>
        <v>-1.792824707781928E-10</v>
      </c>
      <c r="F69" s="80">
        <v>0</v>
      </c>
      <c r="G69" s="80">
        <f t="shared" si="2"/>
        <v>1.8107529548597476E-8</v>
      </c>
      <c r="H69" s="126"/>
      <c r="I69" s="126"/>
    </row>
    <row r="70" spans="1:9" ht="15.75" customHeight="1">
      <c r="A70" s="78" t="s">
        <v>279</v>
      </c>
      <c r="B70" s="78" t="s">
        <v>280</v>
      </c>
      <c r="C70" s="80">
        <f t="shared" si="3"/>
        <v>1.8107529548597476E-8</v>
      </c>
      <c r="D70" s="80">
        <f t="shared" si="0"/>
        <v>1.8107529548597478E-10</v>
      </c>
      <c r="E70" s="80">
        <f t="shared" si="1"/>
        <v>-1.8107529548597478E-10</v>
      </c>
      <c r="F70" s="80">
        <v>0</v>
      </c>
      <c r="G70" s="80">
        <f t="shared" si="2"/>
        <v>1.8288604844083451E-8</v>
      </c>
    </row>
    <row r="71" spans="1:9" ht="15.75" customHeight="1">
      <c r="A71" s="78"/>
      <c r="B71" s="78" t="s">
        <v>281</v>
      </c>
      <c r="C71" s="80">
        <f t="shared" si="3"/>
        <v>1.8288604844083451E-8</v>
      </c>
      <c r="D71" s="80">
        <f t="shared" si="0"/>
        <v>1.828860484408345E-10</v>
      </c>
      <c r="E71" s="80">
        <f t="shared" si="1"/>
        <v>-1.828860484408345E-10</v>
      </c>
      <c r="F71" s="80">
        <v>0</v>
      </c>
      <c r="G71" s="80">
        <f t="shared" si="2"/>
        <v>1.8471490892524285E-8</v>
      </c>
    </row>
    <row r="72" spans="1:9" ht="15.75" customHeight="1">
      <c r="A72" s="78"/>
      <c r="B72" s="78" t="s">
        <v>282</v>
      </c>
      <c r="C72" s="80">
        <f t="shared" si="3"/>
        <v>1.8471490892524285E-8</v>
      </c>
      <c r="D72" s="80">
        <f t="shared" si="0"/>
        <v>1.8471490892524284E-10</v>
      </c>
      <c r="E72" s="80">
        <f t="shared" si="1"/>
        <v>-1.8471490892524284E-10</v>
      </c>
      <c r="F72" s="80">
        <v>0</v>
      </c>
      <c r="G72" s="80">
        <f t="shared" si="2"/>
        <v>1.8656205801449529E-8</v>
      </c>
    </row>
    <row r="73" spans="1:9" ht="15.75" customHeight="1">
      <c r="A73" s="78"/>
      <c r="B73" s="78" t="s">
        <v>283</v>
      </c>
      <c r="C73" s="80">
        <f t="shared" si="3"/>
        <v>1.8656205801449529E-8</v>
      </c>
      <c r="D73" s="80">
        <f t="shared" si="0"/>
        <v>1.8656205801449529E-10</v>
      </c>
      <c r="E73" s="80">
        <f t="shared" si="1"/>
        <v>-1.8656205801449529E-10</v>
      </c>
      <c r="F73" s="80">
        <v>0</v>
      </c>
      <c r="G73" s="80">
        <f t="shared" si="2"/>
        <v>1.8842767859464023E-8</v>
      </c>
    </row>
    <row r="74" spans="1:9" ht="15.75" customHeight="1">
      <c r="A74" s="78"/>
      <c r="B74" s="78" t="s">
        <v>284</v>
      </c>
      <c r="C74" s="80">
        <f t="shared" si="3"/>
        <v>1.8842767859464023E-8</v>
      </c>
      <c r="D74" s="80">
        <f t="shared" si="0"/>
        <v>1.8842767859464022E-10</v>
      </c>
      <c r="E74" s="80">
        <f t="shared" si="1"/>
        <v>-1.8842767859464022E-10</v>
      </c>
      <c r="F74" s="80">
        <v>0</v>
      </c>
      <c r="G74" s="80">
        <f t="shared" si="2"/>
        <v>1.9031195538058664E-8</v>
      </c>
    </row>
    <row r="75" spans="1:9" ht="15.75" customHeight="1">
      <c r="A75" s="78"/>
      <c r="B75" s="78" t="s">
        <v>285</v>
      </c>
      <c r="C75" s="80">
        <f t="shared" si="3"/>
        <v>1.9031195538058664E-8</v>
      </c>
      <c r="D75" s="80">
        <f t="shared" si="0"/>
        <v>1.9031195538058661E-10</v>
      </c>
      <c r="E75" s="80">
        <f t="shared" si="1"/>
        <v>-1.9031195538058661E-10</v>
      </c>
      <c r="F75" s="80">
        <v>0</v>
      </c>
      <c r="G75" s="80">
        <f t="shared" si="2"/>
        <v>1.9221507493439252E-8</v>
      </c>
    </row>
    <row r="76" spans="1:9" ht="15.75" customHeight="1">
      <c r="A76" s="78"/>
      <c r="B76" s="78" t="s">
        <v>286</v>
      </c>
      <c r="C76" s="80">
        <f t="shared" si="3"/>
        <v>1.9221507493439252E-8</v>
      </c>
      <c r="D76" s="80">
        <f t="shared" si="0"/>
        <v>1.9221507493439252E-10</v>
      </c>
      <c r="E76" s="80">
        <f t="shared" si="1"/>
        <v>-1.9221507493439252E-10</v>
      </c>
      <c r="F76" s="80">
        <v>0</v>
      </c>
      <c r="G76" s="80">
        <f t="shared" si="2"/>
        <v>1.9413722568373645E-8</v>
      </c>
    </row>
    <row r="77" spans="1:9" ht="15.75" customHeight="1">
      <c r="A77" s="78"/>
      <c r="B77" s="78" t="s">
        <v>287</v>
      </c>
      <c r="C77" s="80">
        <f t="shared" si="3"/>
        <v>1.9413722568373645E-8</v>
      </c>
      <c r="D77" s="80">
        <f t="shared" si="0"/>
        <v>1.9413722568373641E-10</v>
      </c>
      <c r="E77" s="80">
        <f t="shared" si="1"/>
        <v>-1.9413722568373641E-10</v>
      </c>
      <c r="F77" s="80">
        <v>0</v>
      </c>
      <c r="G77" s="80">
        <f t="shared" si="2"/>
        <v>1.960785979405738E-8</v>
      </c>
    </row>
    <row r="78" spans="1:9" ht="15.75" customHeight="1">
      <c r="A78" s="78"/>
      <c r="B78" s="78" t="s">
        <v>288</v>
      </c>
      <c r="C78" s="80">
        <f t="shared" si="3"/>
        <v>1.960785979405738E-8</v>
      </c>
      <c r="D78" s="80">
        <f t="shared" si="0"/>
        <v>1.9607859794057378E-10</v>
      </c>
      <c r="E78" s="80">
        <f t="shared" si="1"/>
        <v>-1.9607859794057378E-10</v>
      </c>
      <c r="F78" s="80">
        <v>0</v>
      </c>
      <c r="G78" s="80">
        <f t="shared" si="2"/>
        <v>1.9803938391997954E-8</v>
      </c>
    </row>
    <row r="79" spans="1:9" ht="15.75" customHeight="1">
      <c r="A79" s="78"/>
      <c r="B79" s="78" t="s">
        <v>289</v>
      </c>
      <c r="C79" s="80">
        <f t="shared" si="3"/>
        <v>1.9803938391997954E-8</v>
      </c>
      <c r="D79" s="80">
        <f t="shared" si="0"/>
        <v>1.9803938391997953E-10</v>
      </c>
      <c r="E79" s="80">
        <f t="shared" si="1"/>
        <v>-1.9803938391997953E-10</v>
      </c>
      <c r="F79" s="80">
        <v>0</v>
      </c>
      <c r="G79" s="80">
        <f t="shared" si="2"/>
        <v>2.0001977775917932E-8</v>
      </c>
    </row>
    <row r="80" spans="1:9" ht="15.75" customHeight="1">
      <c r="A80" s="78"/>
      <c r="B80" s="78" t="s">
        <v>290</v>
      </c>
      <c r="C80" s="80">
        <f t="shared" si="3"/>
        <v>2.0001977775917932E-8</v>
      </c>
      <c r="D80" s="80">
        <f t="shared" si="0"/>
        <v>2.0001977775917933E-10</v>
      </c>
      <c r="E80" s="80">
        <f t="shared" si="1"/>
        <v>-2.0001977775917933E-10</v>
      </c>
      <c r="F80" s="80">
        <v>0</v>
      </c>
      <c r="G80" s="80">
        <f t="shared" si="2"/>
        <v>2.0201997553677112E-8</v>
      </c>
    </row>
    <row r="81" spans="1:9" ht="15.75" customHeight="1">
      <c r="A81" s="78"/>
      <c r="B81" s="78" t="s">
        <v>291</v>
      </c>
      <c r="C81" s="80">
        <f t="shared" si="3"/>
        <v>2.0201997553677112E-8</v>
      </c>
      <c r="D81" s="80">
        <f t="shared" si="0"/>
        <v>2.0201997553677111E-10</v>
      </c>
      <c r="E81" s="80">
        <f t="shared" si="1"/>
        <v>-2.0201997553677111E-10</v>
      </c>
      <c r="F81" s="80">
        <v>0</v>
      </c>
      <c r="G81" s="80">
        <f t="shared" si="2"/>
        <v>2.0404017529213884E-8</v>
      </c>
      <c r="H81" s="126"/>
      <c r="I81" s="126"/>
    </row>
    <row r="82" spans="1:9" ht="15.75" customHeight="1">
      <c r="A82" s="78" t="s">
        <v>292</v>
      </c>
      <c r="B82" s="78" t="s">
        <v>293</v>
      </c>
      <c r="C82" s="80">
        <f t="shared" si="3"/>
        <v>2.0404017529213884E-8</v>
      </c>
      <c r="D82" s="80">
        <f t="shared" si="0"/>
        <v>2.0404017529213882E-10</v>
      </c>
      <c r="E82" s="80">
        <f t="shared" si="1"/>
        <v>-2.0404017529213882E-10</v>
      </c>
      <c r="F82" s="80">
        <v>0</v>
      </c>
      <c r="G82" s="80">
        <f t="shared" si="2"/>
        <v>2.0608057704506022E-8</v>
      </c>
    </row>
    <row r="83" spans="1:9" ht="15.75" customHeight="1">
      <c r="A83" s="78"/>
      <c r="B83" s="78" t="s">
        <v>294</v>
      </c>
      <c r="C83" s="80">
        <f t="shared" si="3"/>
        <v>2.0608057704506022E-8</v>
      </c>
      <c r="D83" s="80">
        <f t="shared" si="0"/>
        <v>2.0608057704506022E-10</v>
      </c>
      <c r="E83" s="80">
        <f t="shared" si="1"/>
        <v>-2.0608057704506022E-10</v>
      </c>
      <c r="F83" s="80">
        <v>0</v>
      </c>
      <c r="G83" s="80">
        <f t="shared" si="2"/>
        <v>2.0814138281551083E-8</v>
      </c>
    </row>
    <row r="84" spans="1:9" ht="15.75" customHeight="1">
      <c r="A84" s="78"/>
      <c r="B84" s="78" t="s">
        <v>295</v>
      </c>
      <c r="C84" s="80">
        <f t="shared" si="3"/>
        <v>2.0814138281551083E-8</v>
      </c>
      <c r="D84" s="80">
        <f t="shared" si="0"/>
        <v>2.0814138281551083E-10</v>
      </c>
      <c r="E84" s="80">
        <f t="shared" si="1"/>
        <v>-2.0814138281551083E-10</v>
      </c>
      <c r="F84" s="80">
        <v>0</v>
      </c>
      <c r="G84" s="80">
        <f t="shared" si="2"/>
        <v>2.1022279664366594E-8</v>
      </c>
    </row>
    <row r="85" spans="1:9" ht="15.75" customHeight="1">
      <c r="A85" s="78"/>
      <c r="B85" s="78" t="s">
        <v>296</v>
      </c>
      <c r="C85" s="80">
        <f t="shared" si="3"/>
        <v>2.1022279664366594E-8</v>
      </c>
      <c r="D85" s="80">
        <f t="shared" si="0"/>
        <v>2.1022279664366593E-10</v>
      </c>
      <c r="E85" s="80">
        <f t="shared" si="1"/>
        <v>-2.1022279664366593E-10</v>
      </c>
      <c r="F85" s="80">
        <v>0</v>
      </c>
      <c r="G85" s="80">
        <f t="shared" si="2"/>
        <v>2.123250246101026E-8</v>
      </c>
    </row>
    <row r="86" spans="1:9" ht="15.75" customHeight="1">
      <c r="A86" s="78"/>
      <c r="B86" s="78" t="s">
        <v>297</v>
      </c>
      <c r="C86" s="80">
        <f t="shared" si="3"/>
        <v>2.123250246101026E-8</v>
      </c>
      <c r="D86" s="80">
        <f t="shared" si="0"/>
        <v>2.123250246101026E-10</v>
      </c>
      <c r="E86" s="80">
        <f t="shared" si="1"/>
        <v>-2.123250246101026E-10</v>
      </c>
      <c r="F86" s="80">
        <v>0</v>
      </c>
      <c r="G86" s="80">
        <f t="shared" si="2"/>
        <v>2.1444827485620362E-8</v>
      </c>
    </row>
    <row r="87" spans="1:9" ht="15.75" customHeight="1">
      <c r="A87" s="78"/>
      <c r="B87" s="78" t="s">
        <v>298</v>
      </c>
      <c r="C87" s="80">
        <f t="shared" si="3"/>
        <v>2.1444827485620362E-8</v>
      </c>
      <c r="D87" s="80">
        <f t="shared" si="0"/>
        <v>2.1444827485620363E-10</v>
      </c>
      <c r="E87" s="80">
        <f t="shared" si="1"/>
        <v>-2.1444827485620363E-10</v>
      </c>
      <c r="F87" s="80">
        <v>0</v>
      </c>
      <c r="G87" s="80">
        <f t="shared" si="2"/>
        <v>2.1659275760476567E-8</v>
      </c>
    </row>
    <row r="88" spans="1:9" ht="15.75" customHeight="1">
      <c r="A88" s="78"/>
      <c r="B88" s="78" t="s">
        <v>299</v>
      </c>
      <c r="C88" s="80">
        <f t="shared" si="3"/>
        <v>2.1659275760476567E-8</v>
      </c>
      <c r="D88" s="80">
        <f t="shared" si="0"/>
        <v>2.1659275760476566E-10</v>
      </c>
      <c r="E88" s="80">
        <f t="shared" si="1"/>
        <v>-2.1659275760476566E-10</v>
      </c>
      <c r="F88" s="80">
        <v>0</v>
      </c>
      <c r="G88" s="80">
        <f t="shared" si="2"/>
        <v>2.1875868518081334E-8</v>
      </c>
    </row>
    <row r="89" spans="1:9" ht="15.75" customHeight="1">
      <c r="A89" s="78"/>
      <c r="B89" s="78" t="s">
        <v>300</v>
      </c>
      <c r="C89" s="80">
        <f t="shared" si="3"/>
        <v>2.1875868518081334E-8</v>
      </c>
      <c r="D89" s="80">
        <f t="shared" si="0"/>
        <v>2.1875868518081332E-10</v>
      </c>
      <c r="E89" s="80">
        <f t="shared" si="1"/>
        <v>-2.1875868518081332E-10</v>
      </c>
      <c r="F89" s="80">
        <v>0</v>
      </c>
      <c r="G89" s="80">
        <f t="shared" si="2"/>
        <v>2.2094627203262146E-8</v>
      </c>
    </row>
    <row r="90" spans="1:9" ht="15.75" customHeight="1">
      <c r="A90" s="78"/>
      <c r="B90" s="78" t="s">
        <v>301</v>
      </c>
      <c r="C90" s="80">
        <f t="shared" si="3"/>
        <v>2.2094627203262146E-8</v>
      </c>
      <c r="D90" s="80">
        <f t="shared" si="0"/>
        <v>2.2094627203262146E-10</v>
      </c>
      <c r="E90" s="80">
        <f t="shared" si="1"/>
        <v>-2.2094627203262146E-10</v>
      </c>
      <c r="F90" s="80">
        <v>0</v>
      </c>
      <c r="G90" s="80">
        <f t="shared" si="2"/>
        <v>2.2315573475294766E-8</v>
      </c>
    </row>
    <row r="91" spans="1:9" ht="15.75" customHeight="1">
      <c r="A91" s="78"/>
      <c r="B91" s="78" t="s">
        <v>302</v>
      </c>
      <c r="C91" s="80">
        <f t="shared" si="3"/>
        <v>2.2315573475294766E-8</v>
      </c>
      <c r="D91" s="80">
        <f t="shared" si="0"/>
        <v>2.2315573475294765E-10</v>
      </c>
      <c r="E91" s="80">
        <f t="shared" si="1"/>
        <v>-2.2315573475294765E-10</v>
      </c>
      <c r="F91" s="80">
        <v>0</v>
      </c>
      <c r="G91" s="80">
        <f t="shared" si="2"/>
        <v>2.2538729210047714E-8</v>
      </c>
    </row>
    <row r="92" spans="1:9" ht="15.75" customHeight="1">
      <c r="A92" s="78"/>
      <c r="B92" s="78" t="s">
        <v>303</v>
      </c>
      <c r="C92" s="80">
        <f t="shared" si="3"/>
        <v>2.2538729210047714E-8</v>
      </c>
      <c r="D92" s="80">
        <f t="shared" si="0"/>
        <v>2.2538729210047714E-10</v>
      </c>
      <c r="E92" s="80">
        <f t="shared" si="1"/>
        <v>-2.2538729210047714E-10</v>
      </c>
      <c r="F92" s="80">
        <v>0</v>
      </c>
      <c r="G92" s="80">
        <f t="shared" si="2"/>
        <v>2.2764116502148192E-8</v>
      </c>
    </row>
    <row r="93" spans="1:9" ht="15.75" customHeight="1">
      <c r="A93" s="78"/>
      <c r="B93" s="78" t="s">
        <v>304</v>
      </c>
      <c r="C93" s="80">
        <f t="shared" si="3"/>
        <v>2.2764116502148192E-8</v>
      </c>
      <c r="D93" s="80">
        <f t="shared" si="0"/>
        <v>2.2764116502148193E-10</v>
      </c>
      <c r="E93" s="80">
        <f t="shared" si="1"/>
        <v>-2.2764116502148193E-10</v>
      </c>
      <c r="F93" s="80">
        <v>0</v>
      </c>
      <c r="G93" s="80">
        <f t="shared" si="2"/>
        <v>2.2991757667169674E-8</v>
      </c>
    </row>
    <row r="94" spans="1:9" ht="15.75" customHeight="1">
      <c r="A94" s="73"/>
      <c r="B94" s="73"/>
      <c r="C94" s="73"/>
      <c r="D94" s="127">
        <f t="shared" ref="D94:E94" si="7">SUM(D10:D93)</f>
        <v>1921492.968782186</v>
      </c>
      <c r="E94" s="127">
        <f t="shared" si="7"/>
        <v>8638120.9747197144</v>
      </c>
      <c r="F94" s="73"/>
      <c r="G94" s="73"/>
    </row>
    <row r="95" spans="1:9" ht="39.75" customHeight="1">
      <c r="A95" s="360" t="s">
        <v>305</v>
      </c>
      <c r="B95" s="324"/>
      <c r="C95" s="324"/>
      <c r="D95" s="324"/>
      <c r="E95" s="324"/>
      <c r="F95" s="324"/>
      <c r="G95" s="324"/>
      <c r="H95" s="324"/>
    </row>
    <row r="96" spans="1:9" ht="15.75" customHeight="1">
      <c r="A96" t="s">
        <v>306</v>
      </c>
    </row>
    <row r="97" spans="1:2" ht="15.75" customHeight="1">
      <c r="A97">
        <v>1</v>
      </c>
      <c r="B97" t="s">
        <v>307</v>
      </c>
    </row>
    <row r="98" spans="1:2" ht="15.75" customHeight="1">
      <c r="A98">
        <v>2</v>
      </c>
      <c r="B98" t="s">
        <v>308</v>
      </c>
    </row>
    <row r="99" spans="1:2" ht="15.75" customHeight="1"/>
    <row r="100" spans="1:2" ht="15.75" customHeight="1"/>
  </sheetData>
  <mergeCells count="2">
    <mergeCell ref="A2:G2"/>
    <mergeCell ref="A95:H95"/>
  </mergeCells>
  <pageMargins left="0.7" right="0.7" top="0.75" bottom="0.75" header="0" footer="0"/>
  <pageSetup scale="59" orientation="portrait" r:id="rId1"/>
  <rowBreaks count="1" manualBreakCount="1">
    <brk id="57" max="16383" man="1"/>
  </rowBreaks>
</worksheet>
</file>

<file path=xl/worksheets/sheet6.xml><?xml version="1.0" encoding="utf-8"?>
<worksheet xmlns="http://schemas.openxmlformats.org/spreadsheetml/2006/main" xmlns:r="http://schemas.openxmlformats.org/officeDocument/2006/relationships">
  <dimension ref="A2:V100"/>
  <sheetViews>
    <sheetView view="pageBreakPreview" zoomScale="108" zoomScaleSheetLayoutView="108" workbookViewId="0">
      <selection activeCell="C8" sqref="C8"/>
    </sheetView>
  </sheetViews>
  <sheetFormatPr defaultColWidth="14.42578125" defaultRowHeight="15" customHeight="1"/>
  <cols>
    <col min="1" max="1" width="8.7109375" customWidth="1"/>
    <col min="2" max="2" width="7.5703125" customWidth="1"/>
    <col min="3" max="3" width="30.5703125" customWidth="1"/>
    <col min="4" max="4" width="16.85546875" customWidth="1"/>
    <col min="5" max="5" width="12.5703125" customWidth="1"/>
    <col min="6" max="6" width="16" customWidth="1"/>
    <col min="7" max="7" width="20.42578125" customWidth="1"/>
    <col min="8" max="8" width="23.140625" customWidth="1"/>
    <col min="9" max="9" width="26.85546875" customWidth="1"/>
    <col min="10" max="10" width="29.42578125" customWidth="1"/>
    <col min="11" max="11" width="32.140625" customWidth="1"/>
    <col min="12" max="13" width="8.7109375" customWidth="1"/>
    <col min="14" max="14" width="24" hidden="1" customWidth="1"/>
    <col min="15" max="15" width="11.85546875" hidden="1" customWidth="1"/>
    <col min="16" max="16" width="9.5703125" hidden="1" customWidth="1"/>
    <col min="17" max="17" width="10.85546875" hidden="1" customWidth="1"/>
    <col min="18" max="18" width="11.28515625" hidden="1" customWidth="1"/>
    <col min="19" max="20" width="8.7109375" hidden="1" customWidth="1"/>
    <col min="21" max="21" width="2.28515625" hidden="1" customWidth="1"/>
    <col min="22" max="22" width="4.5703125" hidden="1" customWidth="1"/>
  </cols>
  <sheetData>
    <row r="2" spans="3:22" ht="18.75">
      <c r="C2" s="340" t="s">
        <v>309</v>
      </c>
      <c r="D2" s="324"/>
      <c r="E2" s="324"/>
      <c r="F2" s="324"/>
      <c r="G2" s="324"/>
      <c r="H2" s="324"/>
      <c r="I2" s="324"/>
      <c r="J2" s="324"/>
      <c r="K2" s="324"/>
      <c r="L2" s="128"/>
    </row>
    <row r="4" spans="3:22">
      <c r="C4" s="129" t="s">
        <v>142</v>
      </c>
      <c r="D4" s="129"/>
      <c r="E4" s="130" t="s">
        <v>145</v>
      </c>
      <c r="F4" s="130" t="s">
        <v>146</v>
      </c>
      <c r="G4" s="130" t="s">
        <v>147</v>
      </c>
      <c r="H4" s="130" t="s">
        <v>148</v>
      </c>
      <c r="I4" s="130" t="s">
        <v>149</v>
      </c>
      <c r="J4" s="130" t="s">
        <v>150</v>
      </c>
      <c r="K4" s="130" t="s">
        <v>151</v>
      </c>
      <c r="L4" s="73"/>
      <c r="M4" s="73"/>
      <c r="N4" s="131"/>
      <c r="O4" s="131"/>
      <c r="P4" s="131"/>
      <c r="Q4" s="131"/>
      <c r="R4" s="131"/>
      <c r="S4" s="131"/>
      <c r="T4" s="131"/>
      <c r="U4" s="131"/>
      <c r="V4" s="131"/>
    </row>
    <row r="5" spans="3:22">
      <c r="C5" s="78" t="s">
        <v>310</v>
      </c>
      <c r="D5" s="78"/>
      <c r="E5" s="78"/>
      <c r="F5" s="78"/>
      <c r="G5" s="78"/>
      <c r="H5" s="78"/>
      <c r="I5" s="78"/>
      <c r="J5" s="78"/>
      <c r="K5" s="78"/>
      <c r="L5" s="73"/>
      <c r="M5" s="73"/>
      <c r="N5" s="364" t="s">
        <v>311</v>
      </c>
      <c r="O5" s="350"/>
      <c r="P5" s="350"/>
      <c r="Q5" s="350"/>
      <c r="R5" s="351"/>
      <c r="S5" s="131"/>
      <c r="T5" s="131"/>
      <c r="U5" s="364" t="s">
        <v>312</v>
      </c>
      <c r="V5" s="351"/>
    </row>
    <row r="6" spans="3:22">
      <c r="C6" s="78" t="s">
        <v>313</v>
      </c>
      <c r="D6" s="132"/>
      <c r="E6" s="78"/>
      <c r="F6" s="80">
        <f>E15</f>
        <v>0</v>
      </c>
      <c r="G6" s="80">
        <f t="shared" ref="G6:K6" si="0">F15</f>
        <v>0</v>
      </c>
      <c r="H6" s="80">
        <f t="shared" si="0"/>
        <v>0</v>
      </c>
      <c r="I6" s="80">
        <f t="shared" si="0"/>
        <v>0</v>
      </c>
      <c r="J6" s="80">
        <f t="shared" si="0"/>
        <v>0</v>
      </c>
      <c r="K6" s="80">
        <f t="shared" si="0"/>
        <v>0</v>
      </c>
      <c r="L6" s="73"/>
      <c r="M6" s="73"/>
      <c r="N6" s="362" t="s">
        <v>314</v>
      </c>
      <c r="O6" s="363"/>
      <c r="P6" s="363"/>
      <c r="Q6" s="363"/>
      <c r="R6" s="339"/>
      <c r="S6" s="131"/>
      <c r="T6" s="131"/>
      <c r="U6" s="362" t="s">
        <v>314</v>
      </c>
      <c r="V6" s="339"/>
    </row>
    <row r="7" spans="3:22">
      <c r="C7" s="78" t="s">
        <v>131</v>
      </c>
      <c r="D7" s="132"/>
      <c r="E7" s="78"/>
      <c r="F7" s="80">
        <f t="shared" ref="F7:K7" si="1">E16</f>
        <v>71696.989546875004</v>
      </c>
      <c r="G7" s="80">
        <f t="shared" si="1"/>
        <v>80659.113240234379</v>
      </c>
      <c r="H7" s="80">
        <f t="shared" si="1"/>
        <v>90338.206829062532</v>
      </c>
      <c r="I7" s="80">
        <f t="shared" si="1"/>
        <v>100783.56199367286</v>
      </c>
      <c r="J7" s="80">
        <f t="shared" si="1"/>
        <v>112047.60715767165</v>
      </c>
      <c r="K7" s="80">
        <f t="shared" si="1"/>
        <v>124186.09793308598</v>
      </c>
      <c r="L7" s="73"/>
      <c r="M7" s="73"/>
      <c r="N7" s="133" t="s">
        <v>142</v>
      </c>
      <c r="O7" s="133" t="s">
        <v>316</v>
      </c>
      <c r="P7" s="133" t="s">
        <v>317</v>
      </c>
      <c r="Q7" s="133" t="s">
        <v>318</v>
      </c>
      <c r="R7" s="133" t="s">
        <v>319</v>
      </c>
      <c r="S7" s="131"/>
      <c r="T7" s="131"/>
      <c r="U7" s="134" t="s">
        <v>142</v>
      </c>
      <c r="V7" s="134" t="s">
        <v>320</v>
      </c>
    </row>
    <row r="8" spans="3:22">
      <c r="C8" s="78" t="s">
        <v>321</v>
      </c>
      <c r="D8" s="132"/>
      <c r="E8" s="78"/>
      <c r="F8" s="80">
        <f t="shared" ref="F8:K8" si="2">E17</f>
        <v>4702017.4139531255</v>
      </c>
      <c r="G8" s="80">
        <f t="shared" si="2"/>
        <v>4879136.4963222658</v>
      </c>
      <c r="H8" s="80">
        <f t="shared" si="2"/>
        <v>5134544.7893184386</v>
      </c>
      <c r="I8" s="80">
        <f t="shared" si="2"/>
        <v>5403296.0703734225</v>
      </c>
      <c r="J8" s="80">
        <f t="shared" si="2"/>
        <v>5686086.1175606074</v>
      </c>
      <c r="K8" s="80">
        <f t="shared" si="2"/>
        <v>5983646.9292905778</v>
      </c>
      <c r="L8" s="73"/>
      <c r="M8" s="73"/>
      <c r="N8" s="135" t="s">
        <v>322</v>
      </c>
      <c r="O8" s="136">
        <f>'13.Facility 2 Grain Processing'!C156</f>
        <v>0</v>
      </c>
      <c r="P8" s="136">
        <f>'13.Facility 2 Grain Processing'!C157</f>
        <v>0</v>
      </c>
      <c r="Q8" s="136">
        <f>'13.Facility 2 Grain Processing'!C158</f>
        <v>0</v>
      </c>
      <c r="R8" s="136">
        <f>'13.Facility 2 Grain Processing'!C159</f>
        <v>0</v>
      </c>
      <c r="S8" s="131"/>
      <c r="T8" s="131"/>
      <c r="U8" s="135" t="s">
        <v>323</v>
      </c>
      <c r="V8" s="136">
        <f>'17.Facility 6 Horti Processing '!C157</f>
        <v>0</v>
      </c>
    </row>
    <row r="9" spans="3:22">
      <c r="C9" s="78" t="str">
        <f>C18</f>
        <v xml:space="preserve">Horticulture Processing </v>
      </c>
      <c r="D9" s="78"/>
      <c r="E9" s="78"/>
      <c r="F9" s="80">
        <f t="shared" ref="F9:K9" si="3">E18</f>
        <v>0</v>
      </c>
      <c r="G9" s="80">
        <f t="shared" si="3"/>
        <v>0</v>
      </c>
      <c r="H9" s="80">
        <f t="shared" si="3"/>
        <v>0</v>
      </c>
      <c r="I9" s="80">
        <f t="shared" si="3"/>
        <v>0</v>
      </c>
      <c r="J9" s="80">
        <f t="shared" si="3"/>
        <v>0</v>
      </c>
      <c r="K9" s="80">
        <f t="shared" si="3"/>
        <v>0</v>
      </c>
      <c r="L9" s="73"/>
      <c r="M9" s="73"/>
      <c r="N9" s="135" t="str">
        <f>'13.Facility 2 Grain Processing'!A163</f>
        <v>Oil (Liters)</v>
      </c>
      <c r="O9" s="135">
        <f>('13.Facility 2 Grain Processing'!B163*'13.Facility 2 Grain Processing'!C163/1000)*100</f>
        <v>0</v>
      </c>
      <c r="P9" s="135">
        <f t="shared" ref="P9:R9" si="4">O9</f>
        <v>0</v>
      </c>
      <c r="Q9" s="135">
        <f t="shared" si="4"/>
        <v>0</v>
      </c>
      <c r="R9" s="135">
        <f t="shared" si="4"/>
        <v>0</v>
      </c>
      <c r="S9" s="131"/>
      <c r="T9" s="131"/>
      <c r="U9" s="135" t="str">
        <f>'17.Facility 6 Horti Processing '!A158</f>
        <v>Other Consumbales</v>
      </c>
      <c r="V9" s="137">
        <f>'17.Facility 6 Horti Processing '!C158</f>
        <v>0</v>
      </c>
    </row>
    <row r="10" spans="3:22">
      <c r="C10" s="78"/>
      <c r="D10" s="78"/>
      <c r="E10" s="78"/>
      <c r="F10" s="80"/>
      <c r="G10" s="80"/>
      <c r="H10" s="80"/>
      <c r="I10" s="80"/>
      <c r="J10" s="80"/>
      <c r="K10" s="80"/>
      <c r="L10" s="73"/>
      <c r="M10" s="73"/>
      <c r="N10" s="135" t="str">
        <f>'13.Facility 2 Grain Processing'!A164</f>
        <v xml:space="preserve">Daily Labour </v>
      </c>
      <c r="O10" s="138">
        <f>('13.Facility 2 Grain Processing'!B164*'13.Facility 2 Grain Processing'!C164)/('13.Facility 2 Grain Processing'!B5*'13.Facility 2 Grain Processing'!B6)</f>
        <v>34.375</v>
      </c>
      <c r="P10" s="138">
        <f t="shared" ref="P10:R10" si="5">O10</f>
        <v>34.375</v>
      </c>
      <c r="Q10" s="138">
        <f t="shared" si="5"/>
        <v>34.375</v>
      </c>
      <c r="R10" s="138">
        <f t="shared" si="5"/>
        <v>34.375</v>
      </c>
      <c r="S10" s="131"/>
      <c r="T10" s="131"/>
      <c r="U10" s="135" t="str">
        <f>'17.Facility 6 Horti Processing '!A159</f>
        <v xml:space="preserve">Daily Labour </v>
      </c>
      <c r="V10" s="137">
        <f>'17.Facility 6 Horti Processing '!B159*'17.Facility 6 Horti Processing '!C159/('17.Facility 6 Horti Processing '!B3*'17.Facility 6 Horti Processing '!B4)</f>
        <v>0</v>
      </c>
    </row>
    <row r="11" spans="3:22">
      <c r="C11" s="78"/>
      <c r="D11" s="78"/>
      <c r="E11" s="78"/>
      <c r="F11" s="80"/>
      <c r="G11" s="80"/>
      <c r="H11" s="80"/>
      <c r="I11" s="80"/>
      <c r="J11" s="80"/>
      <c r="K11" s="80"/>
      <c r="L11" s="73"/>
      <c r="M11" s="73"/>
      <c r="N11" s="135" t="str">
        <f>'13.Facility 2 Grain Processing'!A165</f>
        <v>Electricity Charges</v>
      </c>
      <c r="O11" s="138">
        <f>('13.Facility 2 Grain Processing'!B165*'13.Facility 2 Grain Processing'!C165)/('13.Facility 2 Grain Processing'!B5*'13.Facility 2 Grain Processing'!B6)</f>
        <v>40.097499999999997</v>
      </c>
      <c r="P11" s="138">
        <f t="shared" ref="P11:R11" si="6">O11</f>
        <v>40.097499999999997</v>
      </c>
      <c r="Q11" s="138">
        <f t="shared" si="6"/>
        <v>40.097499999999997</v>
      </c>
      <c r="R11" s="138">
        <f t="shared" si="6"/>
        <v>40.097499999999997</v>
      </c>
      <c r="S11" s="131"/>
      <c r="T11" s="131"/>
      <c r="U11" s="135" t="str">
        <f>'17.Facility 6 Horti Processing '!A160</f>
        <v>Electricity Charges</v>
      </c>
      <c r="V11" s="135">
        <f>'17.Facility 6 Horti Processing '!B160*'17.Facility 6 Horti Processing '!C160/('17.Facility 6 Horti Processing '!B3*'17.Facility 6 Horti Processing '!B4)</f>
        <v>0</v>
      </c>
    </row>
    <row r="12" spans="3:22">
      <c r="C12" s="78" t="s">
        <v>82</v>
      </c>
      <c r="D12" s="78"/>
      <c r="E12" s="80"/>
      <c r="F12" s="80">
        <f>SUM(F6:F11)</f>
        <v>4773714.4035</v>
      </c>
      <c r="G12" s="80">
        <f t="shared" ref="G12:K12" si="7">SUM(G6:G11)</f>
        <v>4959795.6095625004</v>
      </c>
      <c r="H12" s="80">
        <f t="shared" si="7"/>
        <v>5224882.9961475013</v>
      </c>
      <c r="I12" s="80">
        <f t="shared" si="7"/>
        <v>5504079.632367095</v>
      </c>
      <c r="J12" s="80">
        <f t="shared" si="7"/>
        <v>5798133.7247182792</v>
      </c>
      <c r="K12" s="80">
        <f t="shared" si="7"/>
        <v>6107833.0272236634</v>
      </c>
      <c r="L12" s="73"/>
      <c r="M12" s="73"/>
      <c r="N12" s="135" t="str">
        <f>'13.Facility 2 Grain Processing'!A166</f>
        <v>Loading/Unloading Charges</v>
      </c>
      <c r="O12" s="135">
        <f>'13.Facility 2 Grain Processing'!C166*2</f>
        <v>0</v>
      </c>
      <c r="P12" s="135">
        <f t="shared" ref="P12:R12" si="8">O12</f>
        <v>0</v>
      </c>
      <c r="Q12" s="135">
        <f t="shared" si="8"/>
        <v>0</v>
      </c>
      <c r="R12" s="135">
        <f t="shared" si="8"/>
        <v>0</v>
      </c>
      <c r="S12" s="131"/>
      <c r="T12" s="131"/>
      <c r="U12" s="135" t="str">
        <f>'17.Facility 6 Horti Processing '!A161</f>
        <v>Loading/Unloading Charges</v>
      </c>
      <c r="V12" s="135">
        <f>'17.Facility 6 Horti Processing '!C161</f>
        <v>0</v>
      </c>
    </row>
    <row r="13" spans="3:22">
      <c r="C13" s="78"/>
      <c r="D13" s="78"/>
      <c r="E13" s="78"/>
      <c r="F13" s="80"/>
      <c r="G13" s="80"/>
      <c r="H13" s="80"/>
      <c r="I13" s="80"/>
      <c r="J13" s="80"/>
      <c r="K13" s="80"/>
      <c r="L13" s="73"/>
      <c r="M13" s="73"/>
      <c r="N13" s="135" t="str">
        <f>'13.Facility 2 Grain Processing'!A167</f>
        <v>Packaging Exp</v>
      </c>
      <c r="O13" s="135">
        <f>'13.Facility 2 Grain Processing'!C167*2</f>
        <v>24</v>
      </c>
      <c r="P13" s="135">
        <f t="shared" ref="P13:R13" si="9">O13</f>
        <v>24</v>
      </c>
      <c r="Q13" s="135">
        <f t="shared" si="9"/>
        <v>24</v>
      </c>
      <c r="R13" s="135">
        <f t="shared" si="9"/>
        <v>24</v>
      </c>
      <c r="S13" s="131"/>
      <c r="T13" s="131"/>
      <c r="U13" s="135" t="str">
        <f>'17.Facility 6 Horti Processing '!A162</f>
        <v>packaging Exp</v>
      </c>
      <c r="V13" s="139">
        <f>'17.Facility 6 Horti Processing '!C162*100</f>
        <v>0</v>
      </c>
    </row>
    <row r="14" spans="3:22">
      <c r="C14" s="81" t="s">
        <v>324</v>
      </c>
      <c r="D14" s="78"/>
      <c r="E14" s="78"/>
      <c r="F14" s="80"/>
      <c r="G14" s="80"/>
      <c r="H14" s="80"/>
      <c r="I14" s="80"/>
      <c r="J14" s="80"/>
      <c r="K14" s="80"/>
      <c r="L14" s="73"/>
      <c r="M14" s="73"/>
      <c r="N14" s="135"/>
      <c r="O14" s="139"/>
      <c r="P14" s="139"/>
      <c r="Q14" s="139"/>
      <c r="R14" s="139"/>
      <c r="S14" s="131"/>
      <c r="T14" s="131"/>
      <c r="U14" s="139"/>
      <c r="V14" s="139"/>
    </row>
    <row r="15" spans="3:22">
      <c r="C15" s="78" t="str">
        <f t="shared" ref="C15:C17" si="10">C6</f>
        <v>Agri Input</v>
      </c>
      <c r="D15" s="140">
        <v>0.05</v>
      </c>
      <c r="E15" s="80">
        <f>SUM('16.Facility 5 Agri Input'!D197:D252)*$D$15</f>
        <v>0</v>
      </c>
      <c r="F15" s="80">
        <f>SUM('16.Facility 5 Agri Input'!E197:E252)*$D$15</f>
        <v>0</v>
      </c>
      <c r="G15" s="80">
        <f>SUM('16.Facility 5 Agri Input'!F197:F252)*$D$15</f>
        <v>0</v>
      </c>
      <c r="H15" s="80">
        <f>SUM('16.Facility 5 Agri Input'!G197:G252)*$D$15</f>
        <v>0</v>
      </c>
      <c r="I15" s="80">
        <f>SUM('16.Facility 5 Agri Input'!H197:H252)*$D$15</f>
        <v>0</v>
      </c>
      <c r="J15" s="80">
        <f>SUM('16.Facility 5 Agri Input'!I197:I252)*$D$15</f>
        <v>0</v>
      </c>
      <c r="K15" s="80">
        <f>SUM('16.Facility 5 Agri Input'!J197:J252)*$D$15</f>
        <v>0</v>
      </c>
      <c r="L15" s="73"/>
      <c r="M15" s="73"/>
      <c r="N15" s="139"/>
      <c r="O15" s="139"/>
      <c r="P15" s="139"/>
      <c r="Q15" s="139"/>
      <c r="R15" s="139"/>
      <c r="U15" s="139"/>
      <c r="V15" s="139"/>
    </row>
    <row r="16" spans="3:22">
      <c r="C16" s="78" t="str">
        <f t="shared" si="10"/>
        <v>Cleaning &amp; Grading</v>
      </c>
      <c r="D16" s="140">
        <v>0.05</v>
      </c>
      <c r="E16" s="80">
        <f>SUM('12.Facility 1 - Cleaning &amp; Grad'!D232:D284)*$D$16</f>
        <v>71696.989546875004</v>
      </c>
      <c r="F16" s="80">
        <f>SUM('12.Facility 1 - Cleaning &amp; Grad'!E232:E284)*$D$16</f>
        <v>80659.113240234379</v>
      </c>
      <c r="G16" s="80">
        <f>SUM('12.Facility 1 - Cleaning &amp; Grad'!F232:F284)*$D$16</f>
        <v>90338.206829062532</v>
      </c>
      <c r="H16" s="80">
        <f>SUM('12.Facility 1 - Cleaning &amp; Grad'!G232:G284)*$D$16</f>
        <v>100783.56199367286</v>
      </c>
      <c r="I16" s="80">
        <f>SUM('12.Facility 1 - Cleaning &amp; Grad'!H232:H284)*$D$16</f>
        <v>112047.60715767165</v>
      </c>
      <c r="J16" s="80">
        <f>SUM('12.Facility 1 - Cleaning &amp; Grad'!I232:I284)*$D$16</f>
        <v>124186.09793308598</v>
      </c>
      <c r="K16" s="80">
        <f>SUM('12.Facility 1 - Cleaning &amp; Grad'!J232:J284)*$D$16</f>
        <v>137258.3187681477</v>
      </c>
      <c r="L16" s="73"/>
      <c r="M16" s="73"/>
      <c r="N16" s="133" t="s">
        <v>325</v>
      </c>
      <c r="O16" s="141">
        <f t="shared" ref="O16:R16" si="11">SUM(O8:O13)</f>
        <v>98.472499999999997</v>
      </c>
      <c r="P16" s="141">
        <f t="shared" si="11"/>
        <v>98.472499999999997</v>
      </c>
      <c r="Q16" s="141">
        <f t="shared" si="11"/>
        <v>98.472499999999997</v>
      </c>
      <c r="R16" s="141">
        <f t="shared" si="11"/>
        <v>98.472499999999997</v>
      </c>
      <c r="U16" s="133" t="s">
        <v>82</v>
      </c>
      <c r="V16" s="141">
        <f>SUM(V8:V15)</f>
        <v>0</v>
      </c>
    </row>
    <row r="17" spans="1:18">
      <c r="C17" s="78" t="str">
        <f t="shared" si="10"/>
        <v xml:space="preserve">Grain Processing </v>
      </c>
      <c r="D17" s="140">
        <v>0.05</v>
      </c>
      <c r="E17" s="80">
        <f>SUM('13.Facility 2 Grain Processing'!D156:D168)*$D$17</f>
        <v>4702017.4139531255</v>
      </c>
      <c r="F17" s="80">
        <f>SUM('13.Facility 2 Grain Processing'!E156:E168)*$D$17</f>
        <v>4879136.4963222658</v>
      </c>
      <c r="G17" s="80">
        <f>SUM('13.Facility 2 Grain Processing'!F156:F168)*$D$17</f>
        <v>5134544.7893184386</v>
      </c>
      <c r="H17" s="80">
        <f>SUM('13.Facility 2 Grain Processing'!G156:G168)*$D$17</f>
        <v>5403296.0703734225</v>
      </c>
      <c r="I17" s="80">
        <f>SUM('13.Facility 2 Grain Processing'!H156:H168)*$D$17</f>
        <v>5686086.1175606074</v>
      </c>
      <c r="J17" s="80">
        <f>SUM('13.Facility 2 Grain Processing'!I156:I168)*$D$17</f>
        <v>5983646.9292905778</v>
      </c>
      <c r="K17" s="80">
        <f>SUM('13.Facility 2 Grain Processing'!J156:J168)*$D$17</f>
        <v>6296748.6068996452</v>
      </c>
      <c r="L17" s="73"/>
      <c r="M17" s="73"/>
    </row>
    <row r="18" spans="1:18">
      <c r="C18" s="78" t="s">
        <v>326</v>
      </c>
      <c r="D18" s="140">
        <v>0.05</v>
      </c>
      <c r="E18" s="80">
        <f>SUM('17.Facility 6 Horti Processing '!D157:D162)*$D$18</f>
        <v>0</v>
      </c>
      <c r="F18" s="80">
        <f>SUM('17.Facility 6 Horti Processing '!E157:E162)*$D$18</f>
        <v>0</v>
      </c>
      <c r="G18" s="80">
        <f>SUM('17.Facility 6 Horti Processing '!F157:F162)*$D$18</f>
        <v>0</v>
      </c>
      <c r="H18" s="80">
        <f>SUM('17.Facility 6 Horti Processing '!G157:G162)*$D$18</f>
        <v>0</v>
      </c>
      <c r="I18" s="80">
        <f>SUM('17.Facility 6 Horti Processing '!H157:H162)*$D$18</f>
        <v>0</v>
      </c>
      <c r="J18" s="80">
        <f>SUM('17.Facility 6 Horti Processing '!I157:I162)*$D$18</f>
        <v>0</v>
      </c>
      <c r="K18" s="80">
        <f>SUM('17.Facility 6 Horti Processing '!J157:J162)*$D$18</f>
        <v>0</v>
      </c>
      <c r="L18" s="73"/>
      <c r="M18" s="73"/>
    </row>
    <row r="19" spans="1:18">
      <c r="C19" s="78"/>
      <c r="D19" s="142"/>
      <c r="E19" s="80"/>
      <c r="F19" s="80"/>
      <c r="G19" s="80"/>
      <c r="H19" s="80"/>
      <c r="I19" s="80"/>
      <c r="J19" s="80"/>
      <c r="K19" s="80"/>
      <c r="L19" s="73"/>
      <c r="M19" s="73"/>
    </row>
    <row r="20" spans="1:18">
      <c r="C20" s="78"/>
      <c r="D20" s="78"/>
      <c r="E20" s="78"/>
      <c r="F20" s="80"/>
      <c r="G20" s="80"/>
      <c r="H20" s="80"/>
      <c r="I20" s="80"/>
      <c r="J20" s="80"/>
      <c r="K20" s="80"/>
      <c r="L20" s="73"/>
      <c r="M20" s="73"/>
    </row>
    <row r="21" spans="1:18" ht="15.75" customHeight="1">
      <c r="C21" s="78" t="s">
        <v>82</v>
      </c>
      <c r="D21" s="78"/>
      <c r="E21" s="80">
        <f>SUM(E15:E20)</f>
        <v>4773714.4035</v>
      </c>
      <c r="F21" s="80">
        <f>SUM(F15:F20)</f>
        <v>4959795.6095625004</v>
      </c>
      <c r="G21" s="80">
        <f>SUM(G15:G20)</f>
        <v>5224882.9961475013</v>
      </c>
      <c r="H21" s="80">
        <f>SUM(H15:H20)</f>
        <v>5504079.632367095</v>
      </c>
      <c r="I21" s="80">
        <f t="shared" ref="I21:K21" si="12">SUM(I15:I20)</f>
        <v>5798133.7247182792</v>
      </c>
      <c r="J21" s="80">
        <f t="shared" si="12"/>
        <v>6107833.0272236634</v>
      </c>
      <c r="K21" s="80">
        <f t="shared" si="12"/>
        <v>6434006.9256677926</v>
      </c>
      <c r="L21" s="73"/>
      <c r="M21" s="73"/>
    </row>
    <row r="22" spans="1:18" ht="15.75" customHeight="1">
      <c r="C22" s="73"/>
      <c r="D22" s="73"/>
      <c r="E22" s="73"/>
      <c r="F22" s="73"/>
      <c r="G22" s="73"/>
      <c r="H22" s="73"/>
      <c r="I22" s="73"/>
      <c r="J22" s="73"/>
      <c r="K22" s="73"/>
      <c r="L22" s="73"/>
      <c r="M22" s="73"/>
    </row>
    <row r="23" spans="1:18" ht="40.5" customHeight="1">
      <c r="A23" s="346" t="s">
        <v>327</v>
      </c>
      <c r="B23" s="324"/>
      <c r="C23" s="324"/>
      <c r="D23" s="324"/>
      <c r="E23" s="324"/>
      <c r="F23" s="324"/>
      <c r="G23" s="324"/>
      <c r="H23" s="324"/>
      <c r="I23" s="324"/>
      <c r="J23" s="324"/>
      <c r="K23" s="324"/>
      <c r="L23" s="143"/>
      <c r="M23" s="143"/>
      <c r="N23" s="143"/>
      <c r="O23" s="144"/>
      <c r="P23" s="144"/>
      <c r="Q23" s="144"/>
      <c r="R23" s="144"/>
    </row>
    <row r="24" spans="1:18" ht="15.75" customHeight="1">
      <c r="A24" t="s">
        <v>306</v>
      </c>
    </row>
    <row r="25" spans="1:18" ht="15.75" customHeight="1">
      <c r="A25">
        <v>1</v>
      </c>
      <c r="B25" t="s">
        <v>328</v>
      </c>
    </row>
    <row r="26" spans="1:18" ht="15.75" customHeight="1"/>
    <row r="27" spans="1:18" ht="15.75" customHeight="1"/>
    <row r="28" spans="1:18" ht="15.75" customHeight="1">
      <c r="B28" s="340" t="s">
        <v>329</v>
      </c>
      <c r="C28" s="324"/>
      <c r="D28" s="324"/>
      <c r="E28" s="324"/>
      <c r="F28" s="324"/>
      <c r="G28" s="324"/>
      <c r="H28" s="324"/>
      <c r="I28" s="324"/>
      <c r="J28" s="324"/>
      <c r="K28" s="324"/>
    </row>
    <row r="29" spans="1:18" ht="15.75" customHeight="1"/>
    <row r="30" spans="1:18" ht="15.75" customHeight="1">
      <c r="B30" s="365" t="s">
        <v>76</v>
      </c>
      <c r="C30" s="365" t="s">
        <v>142</v>
      </c>
      <c r="D30" s="366" t="s">
        <v>330</v>
      </c>
      <c r="E30" s="367" t="s">
        <v>78</v>
      </c>
      <c r="F30" s="363"/>
      <c r="G30" s="363"/>
      <c r="H30" s="363"/>
      <c r="I30" s="363"/>
      <c r="J30" s="363"/>
      <c r="K30" s="339"/>
    </row>
    <row r="31" spans="1:18" ht="15.75" customHeight="1">
      <c r="B31" s="334"/>
      <c r="C31" s="334"/>
      <c r="D31" s="334"/>
      <c r="E31" s="38" t="s">
        <v>145</v>
      </c>
      <c r="F31" s="38" t="s">
        <v>146</v>
      </c>
      <c r="G31" s="38" t="s">
        <v>147</v>
      </c>
      <c r="H31" s="38" t="s">
        <v>148</v>
      </c>
      <c r="I31" s="38" t="s">
        <v>149</v>
      </c>
      <c r="J31" s="38" t="s">
        <v>150</v>
      </c>
      <c r="K31" s="38" t="s">
        <v>151</v>
      </c>
    </row>
    <row r="32" spans="1:18" ht="15.75" customHeight="1">
      <c r="B32" s="145"/>
      <c r="C32" s="146"/>
      <c r="D32" s="146"/>
      <c r="E32" s="147"/>
      <c r="F32" s="147"/>
      <c r="G32" s="147"/>
      <c r="H32" s="147"/>
      <c r="I32" s="147"/>
      <c r="J32" s="147"/>
      <c r="K32" s="147"/>
    </row>
    <row r="33" spans="2:11" ht="15.75" customHeight="1">
      <c r="B33" s="148" t="s">
        <v>18</v>
      </c>
      <c r="C33" s="149" t="s">
        <v>331</v>
      </c>
      <c r="D33" s="52"/>
      <c r="E33" s="150"/>
      <c r="F33" s="150"/>
      <c r="G33" s="150"/>
      <c r="H33" s="150"/>
      <c r="I33" s="150"/>
      <c r="J33" s="150"/>
      <c r="K33" s="150"/>
    </row>
    <row r="34" spans="2:11" ht="15.75" customHeight="1">
      <c r="B34" s="151">
        <v>1</v>
      </c>
      <c r="C34" s="152" t="s">
        <v>313</v>
      </c>
      <c r="D34" s="52">
        <v>0</v>
      </c>
      <c r="E34" s="150">
        <f>('16.Facility 5 Agri Input'!D191/365)*$D$34</f>
        <v>0</v>
      </c>
      <c r="F34" s="150">
        <f>('16.Facility 5 Agri Input'!E191/365)*$D$34</f>
        <v>0</v>
      </c>
      <c r="G34" s="150">
        <f>('16.Facility 5 Agri Input'!F191/365)*$D$34</f>
        <v>0</v>
      </c>
      <c r="H34" s="150">
        <f>('16.Facility 5 Agri Input'!G191/365)*$D$34</f>
        <v>0</v>
      </c>
      <c r="I34" s="150">
        <f>('16.Facility 5 Agri Input'!H191/365)*$D$34</f>
        <v>0</v>
      </c>
      <c r="J34" s="150">
        <f>('16.Facility 5 Agri Input'!I191/365)*$D$34</f>
        <v>0</v>
      </c>
      <c r="K34" s="150">
        <f>('16.Facility 5 Agri Input'!J191/365)*$D$34</f>
        <v>0</v>
      </c>
    </row>
    <row r="35" spans="2:11" ht="15.75" customHeight="1">
      <c r="B35" s="151">
        <v>2</v>
      </c>
      <c r="C35" s="152" t="s">
        <v>128</v>
      </c>
      <c r="D35" s="52">
        <v>30</v>
      </c>
      <c r="E35" s="150">
        <f>('15. Facility 4 Custom Hiring'!E39/365)*$D$35</f>
        <v>173465.75342465754</v>
      </c>
      <c r="F35" s="150">
        <f>('15. Facility 4 Custom Hiring'!F39/365)*$D$35</f>
        <v>176935.06849315067</v>
      </c>
      <c r="G35" s="150">
        <f>('15. Facility 4 Custom Hiring'!G39/365)*$D$35</f>
        <v>178669.72602739726</v>
      </c>
      <c r="H35" s="150">
        <f>('15. Facility 4 Custom Hiring'!H39/365)*$D$35</f>
        <v>191176.60684931508</v>
      </c>
      <c r="I35" s="150">
        <f>('15. Facility 4 Custom Hiring'!I39/365)*$D$35</f>
        <v>206470.73539726029</v>
      </c>
      <c r="J35" s="150">
        <f>('15. Facility 4 Custom Hiring'!J39/365)*$D$35</f>
        <v>225053.10158301372</v>
      </c>
      <c r="K35" s="150">
        <f>('15. Facility 4 Custom Hiring'!K39/365)*$D$35</f>
        <v>252059.47377297533</v>
      </c>
    </row>
    <row r="36" spans="2:11" ht="15.75" customHeight="1">
      <c r="B36" s="151">
        <v>3</v>
      </c>
      <c r="C36" s="152" t="s">
        <v>131</v>
      </c>
      <c r="D36" s="52">
        <v>30</v>
      </c>
      <c r="E36" s="150">
        <f>('12.Facility 1 - Cleaning &amp; Grad'!D228/365)*$D$36</f>
        <v>147889.86241438353</v>
      </c>
      <c r="F36" s="150">
        <f>('12.Facility 1 - Cleaning &amp; Grad'!E228/365)*$D$36</f>
        <v>174715.74911172947</v>
      </c>
      <c r="G36" s="150">
        <f>('12.Facility 1 - Cleaning &amp; Grad'!F228/365)*$D$36</f>
        <v>195681.63900513697</v>
      </c>
      <c r="H36" s="150">
        <f>('12.Facility 1 - Cleaning &amp; Grad'!G228/365)*$D$36</f>
        <v>218307.32851510594</v>
      </c>
      <c r="I36" s="150">
        <f>('12.Facility 1 - Cleaning &amp; Grad'!H228/365)*$D$36</f>
        <v>242706.382878559</v>
      </c>
      <c r="J36" s="150">
        <f>('12.Facility 1 - Cleaning &amp; Grad'!I228/365)*$D$36</f>
        <v>268999.5743570695</v>
      </c>
      <c r="K36" s="150">
        <f>('12.Facility 1 - Cleaning &amp; Grad'!J228/365)*$D$36</f>
        <v>297315.31902623479</v>
      </c>
    </row>
    <row r="37" spans="2:11" ht="15.75" customHeight="1">
      <c r="B37" s="151">
        <v>4</v>
      </c>
      <c r="C37" s="313" t="s">
        <v>695</v>
      </c>
      <c r="D37" s="52">
        <v>30</v>
      </c>
      <c r="E37" s="150">
        <f>('13.Facility 2 Grain Processing'!D152/365)*$D$37</f>
        <v>7535642.4793664375</v>
      </c>
      <c r="F37" s="150">
        <f>('13.Facility 2 Grain Processing'!E152/365)*$D$37</f>
        <v>8317416.53800942</v>
      </c>
      <c r="G37" s="150">
        <f>('13.Facility 2 Grain Processing'!F152/365)*$D$37</f>
        <v>8809118.0322900247</v>
      </c>
      <c r="H37" s="150">
        <f>('13.Facility 2 Grain Processing'!G152/365)*$D$37</f>
        <v>9329196.1346536726</v>
      </c>
      <c r="I37" s="150">
        <f>('13.Facility 2 Grain Processing'!H152/365)*$D$37</f>
        <v>9879259.2521729562</v>
      </c>
      <c r="J37" s="150">
        <f>('13.Facility 2 Grain Processing'!I152/365)*$D$37</f>
        <v>10461005.691107534</v>
      </c>
      <c r="K37" s="150">
        <f>('13.Facility 2 Grain Processing'!J152/365)*$D$37</f>
        <v>11076228.62580514</v>
      </c>
    </row>
    <row r="38" spans="2:11" ht="15.75" customHeight="1">
      <c r="B38" s="151">
        <v>5</v>
      </c>
      <c r="C38" s="152" t="s">
        <v>332</v>
      </c>
      <c r="D38" s="52">
        <v>30</v>
      </c>
      <c r="E38" s="150">
        <f>('14. Facility 3 Warehouse'!D18/365)*$D$38</f>
        <v>394520.54794520547</v>
      </c>
      <c r="F38" s="150">
        <f>('14. Facility 3 Warehouse'!E18/365)*$D$38</f>
        <v>423369.86301369872</v>
      </c>
      <c r="G38" s="150">
        <f>('14. Facility 3 Warehouse'!F18/365)*$D$38</f>
        <v>452712.3287671234</v>
      </c>
      <c r="H38" s="150">
        <f>('14. Facility 3 Warehouse'!G18/365)*$D$38</f>
        <v>482547.94520547957</v>
      </c>
      <c r="I38" s="150">
        <f>('14. Facility 3 Warehouse'!H18/365)*$D$38</f>
        <v>512876.71232876729</v>
      </c>
      <c r="J38" s="150">
        <f>('14. Facility 3 Warehouse'!I18/365)*$D$38</f>
        <v>517808.21917808231</v>
      </c>
      <c r="K38" s="150">
        <f>('14. Facility 3 Warehouse'!J18/365)*$D$38</f>
        <v>522739.72602739744</v>
      </c>
    </row>
    <row r="39" spans="2:11" ht="15.75" customHeight="1">
      <c r="B39" s="151">
        <v>6</v>
      </c>
      <c r="C39" s="152" t="s">
        <v>333</v>
      </c>
      <c r="D39" s="52"/>
      <c r="E39" s="150">
        <f>('17.Facility 6 Horti Processing '!D153/365)*$D$39</f>
        <v>0</v>
      </c>
      <c r="F39" s="150">
        <f>('17.Facility 6 Horti Processing '!E153/365)*$D$39</f>
        <v>0</v>
      </c>
      <c r="G39" s="150">
        <f>('17.Facility 6 Horti Processing '!F153/365)*$D$39</f>
        <v>0</v>
      </c>
      <c r="H39" s="150">
        <f>('17.Facility 6 Horti Processing '!G153/365)*$D$39</f>
        <v>0</v>
      </c>
      <c r="I39" s="150">
        <f>('17.Facility 6 Horti Processing '!H153/365)*$D$39</f>
        <v>0</v>
      </c>
      <c r="J39" s="150">
        <f>('17.Facility 6 Horti Processing '!I153/365)*$D$39</f>
        <v>0</v>
      </c>
      <c r="K39" s="150">
        <f>('17.Facility 6 Horti Processing '!J153/365)*$D$39</f>
        <v>0</v>
      </c>
    </row>
    <row r="40" spans="2:11" ht="15.75" customHeight="1">
      <c r="B40" s="151"/>
      <c r="C40" s="152"/>
      <c r="D40" s="52"/>
      <c r="E40" s="150"/>
      <c r="F40" s="150"/>
      <c r="G40" s="150"/>
      <c r="H40" s="150"/>
      <c r="I40" s="150"/>
      <c r="J40" s="150"/>
      <c r="K40" s="150"/>
    </row>
    <row r="41" spans="2:11" ht="15.75" customHeight="1">
      <c r="B41" s="148"/>
      <c r="C41" s="149" t="s">
        <v>129</v>
      </c>
      <c r="D41" s="52"/>
      <c r="E41" s="150">
        <f>SUM(E34:E40)</f>
        <v>8251518.6431506835</v>
      </c>
      <c r="F41" s="150">
        <f t="shared" ref="F41:K41" si="13">SUM(F34:F40)</f>
        <v>9092437.2186280005</v>
      </c>
      <c r="G41" s="150">
        <f t="shared" si="13"/>
        <v>9636181.7260896824</v>
      </c>
      <c r="H41" s="150">
        <f t="shared" si="13"/>
        <v>10221228.015223574</v>
      </c>
      <c r="I41" s="150">
        <f t="shared" si="13"/>
        <v>10841313.082777543</v>
      </c>
      <c r="J41" s="150">
        <f t="shared" si="13"/>
        <v>11472866.5862257</v>
      </c>
      <c r="K41" s="150">
        <f t="shared" si="13"/>
        <v>12148343.144631747</v>
      </c>
    </row>
    <row r="42" spans="2:11" ht="15.75" customHeight="1">
      <c r="B42" s="148" t="s">
        <v>56</v>
      </c>
      <c r="C42" s="149" t="s">
        <v>324</v>
      </c>
      <c r="D42" s="52"/>
      <c r="E42" s="150">
        <f>'5.Closing Stock &amp; W Capital'!E21</f>
        <v>4773714.4035</v>
      </c>
      <c r="F42" s="150">
        <f>'5.Closing Stock &amp; W Capital'!F21</f>
        <v>4959795.6095625004</v>
      </c>
      <c r="G42" s="150">
        <f>'5.Closing Stock &amp; W Capital'!G21</f>
        <v>5224882.9961475013</v>
      </c>
      <c r="H42" s="150">
        <f>'5.Closing Stock &amp; W Capital'!H21</f>
        <v>5504079.632367095</v>
      </c>
      <c r="I42" s="150">
        <f>'5.Closing Stock &amp; W Capital'!I21</f>
        <v>5798133.7247182792</v>
      </c>
      <c r="J42" s="150">
        <f>'5.Closing Stock &amp; W Capital'!J21</f>
        <v>6107833.0272236634</v>
      </c>
      <c r="K42" s="150">
        <f>'5.Closing Stock &amp; W Capital'!K21</f>
        <v>6434006.9256677926</v>
      </c>
    </row>
    <row r="43" spans="2:11" ht="15.75" customHeight="1">
      <c r="B43" s="148"/>
      <c r="C43" s="152"/>
      <c r="D43" s="52"/>
      <c r="E43" s="150"/>
      <c r="F43" s="150"/>
      <c r="G43" s="150"/>
      <c r="H43" s="150"/>
      <c r="I43" s="150"/>
      <c r="J43" s="150"/>
      <c r="K43" s="150"/>
    </row>
    <row r="44" spans="2:11" ht="15.75" customHeight="1">
      <c r="B44" s="348" t="s">
        <v>82</v>
      </c>
      <c r="C44" s="329"/>
      <c r="D44" s="153"/>
      <c r="E44" s="154">
        <f t="shared" ref="E44:K44" si="14">SUM(E41:E42)</f>
        <v>13025233.046650684</v>
      </c>
      <c r="F44" s="154">
        <f t="shared" si="14"/>
        <v>14052232.828190502</v>
      </c>
      <c r="G44" s="154">
        <f t="shared" si="14"/>
        <v>14861064.722237185</v>
      </c>
      <c r="H44" s="154">
        <f t="shared" si="14"/>
        <v>15725307.647590669</v>
      </c>
      <c r="I44" s="154">
        <f t="shared" si="14"/>
        <v>16639446.807495821</v>
      </c>
      <c r="J44" s="154">
        <f t="shared" si="14"/>
        <v>17580699.613449365</v>
      </c>
      <c r="K44" s="154">
        <f t="shared" si="14"/>
        <v>18582350.07029954</v>
      </c>
    </row>
    <row r="45" spans="2:11" ht="15.75" customHeight="1">
      <c r="B45" s="148"/>
      <c r="C45" s="149"/>
      <c r="D45" s="52"/>
      <c r="E45" s="150"/>
      <c r="F45" s="150"/>
      <c r="G45" s="150"/>
      <c r="H45" s="150"/>
      <c r="I45" s="150"/>
      <c r="J45" s="150"/>
      <c r="K45" s="150"/>
    </row>
    <row r="46" spans="2:11" ht="34.5" customHeight="1">
      <c r="B46" s="148" t="s">
        <v>130</v>
      </c>
      <c r="C46" s="152" t="s">
        <v>334</v>
      </c>
      <c r="D46" s="52"/>
      <c r="E46" s="150"/>
      <c r="F46" s="150"/>
      <c r="G46" s="150"/>
      <c r="H46" s="150"/>
      <c r="I46" s="150"/>
      <c r="J46" s="150"/>
      <c r="K46" s="150"/>
    </row>
    <row r="47" spans="2:11" ht="15.75" customHeight="1">
      <c r="B47" s="151">
        <v>1</v>
      </c>
      <c r="C47" s="152" t="str">
        <f t="shared" ref="C47:C52" si="15">C34</f>
        <v>Agri Input</v>
      </c>
      <c r="D47" s="52">
        <v>0</v>
      </c>
      <c r="E47" s="150">
        <f>('16.Facility 5 Agri Input'!D262/365)*$D$47</f>
        <v>0</v>
      </c>
      <c r="F47" s="150">
        <f>('16.Facility 5 Agri Input'!E262/365)*$D$47</f>
        <v>0</v>
      </c>
      <c r="G47" s="150">
        <f>('16.Facility 5 Agri Input'!F262/365)*$D$47</f>
        <v>0</v>
      </c>
      <c r="H47" s="150">
        <f>('16.Facility 5 Agri Input'!G262/365)*$D$47</f>
        <v>0</v>
      </c>
      <c r="I47" s="150">
        <f>('16.Facility 5 Agri Input'!H262/365)*$D$47</f>
        <v>0</v>
      </c>
      <c r="J47" s="150">
        <f>('16.Facility 5 Agri Input'!I262/365)*$D$47</f>
        <v>0</v>
      </c>
      <c r="K47" s="150">
        <f>('16.Facility 5 Agri Input'!J262/365)*$D$47</f>
        <v>0</v>
      </c>
    </row>
    <row r="48" spans="2:11" ht="15.75" customHeight="1">
      <c r="B48" s="151">
        <v>2</v>
      </c>
      <c r="C48" s="152" t="str">
        <f t="shared" si="15"/>
        <v>Custom Hiring</v>
      </c>
      <c r="D48" s="52">
        <v>7</v>
      </c>
      <c r="E48" s="150">
        <f>('15. Facility 4 Custom Hiring'!E49/365)*$D$49</f>
        <v>30464.383561643837</v>
      </c>
      <c r="F48" s="150">
        <f>('15. Facility 4 Custom Hiring'!F49/365)*$D$49</f>
        <v>31073.671232876717</v>
      </c>
      <c r="G48" s="150">
        <f>('15. Facility 4 Custom Hiring'!G49/365)*$D$49</f>
        <v>31378.315068493153</v>
      </c>
      <c r="H48" s="150">
        <f>('15. Facility 4 Custom Hiring'!H49/365)*$D$49</f>
        <v>33574.797123287673</v>
      </c>
      <c r="I48" s="150">
        <f>('15. Facility 4 Custom Hiring'!I49/365)*$D$49</f>
        <v>36260.780893150688</v>
      </c>
      <c r="J48" s="150">
        <f>('15. Facility 4 Custom Hiring'!J49/365)*$D$49</f>
        <v>39524.251173534249</v>
      </c>
      <c r="K48" s="150">
        <f>('15. Facility 4 Custom Hiring'!K49/365)*$D$49</f>
        <v>44267.16131435836</v>
      </c>
    </row>
    <row r="49" spans="1:11" ht="15.75" customHeight="1">
      <c r="B49" s="151">
        <v>3</v>
      </c>
      <c r="C49" s="152" t="str">
        <f t="shared" si="15"/>
        <v>Cleaning &amp; Grading</v>
      </c>
      <c r="D49" s="52">
        <v>7</v>
      </c>
      <c r="E49" s="150">
        <f>('12.Facility 1 - Cleaning &amp; Grad'!D291/365)*$D$49</f>
        <v>26125.204410231163</v>
      </c>
      <c r="F49" s="150">
        <f>('12.Facility 1 - Cleaning &amp; Grad'!E291/365)*$D$49</f>
        <v>30765.865719943282</v>
      </c>
      <c r="G49" s="150">
        <f>('12.Facility 1 - Cleaning &amp; Grad'!F291/365)*$D$49</f>
        <v>34464.644660128652</v>
      </c>
      <c r="H49" s="150">
        <f>('12.Facility 1 - Cleaning &amp; Grad'!G291/365)*$D$49</f>
        <v>38456.386830032672</v>
      </c>
      <c r="I49" s="150">
        <f>('12.Facility 1 - Cleaning &amp; Grad'!H291/365)*$D$49</f>
        <v>42761.141605276818</v>
      </c>
      <c r="J49" s="150">
        <f>('12.Facility 1 - Cleaning &amp; Grad'!I291/365)*$D$49</f>
        <v>47400.230890970241</v>
      </c>
      <c r="K49" s="150">
        <f>('12.Facility 1 - Cleaning &amp; Grad'!J291/365)*$D$49</f>
        <v>52396.326251219842</v>
      </c>
    </row>
    <row r="50" spans="1:11" ht="15.75" customHeight="1">
      <c r="B50" s="151">
        <v>4</v>
      </c>
      <c r="C50" s="152" t="str">
        <f t="shared" si="15"/>
        <v>Processing Unit - Brown Rice</v>
      </c>
      <c r="D50" s="52">
        <v>7</v>
      </c>
      <c r="E50" s="150">
        <f>('13.Facility 2 Grain Processing'!D176/365)*$D$50</f>
        <v>1713337.8522075771</v>
      </c>
      <c r="F50" s="150">
        <f>('13.Facility 2 Grain Processing'!E176/365)*$D$50</f>
        <v>1868052.8107083102</v>
      </c>
      <c r="G50" s="150">
        <f>('13.Facility 2 Grain Processing'!F176/365)*$D$50</f>
        <v>1964516.1985030356</v>
      </c>
      <c r="H50" s="150">
        <f>('13.Facility 2 Grain Processing'!G176/365)*$D$50</f>
        <v>2067342.9887257377</v>
      </c>
      <c r="I50" s="150">
        <f>('13.Facility 2 Grain Processing'!H176/365)*$D$50</f>
        <v>2175541.167474451</v>
      </c>
      <c r="J50" s="150">
        <f>('13.Facility 2 Grain Processing'!I176/365)*$D$50</f>
        <v>2289390.8066262221</v>
      </c>
      <c r="K50" s="150">
        <f>('13.Facility 2 Grain Processing'!J176/365)*$D$50</f>
        <v>2409186.556774484</v>
      </c>
    </row>
    <row r="51" spans="1:11" ht="15.75" customHeight="1">
      <c r="B51" s="151">
        <v>5</v>
      </c>
      <c r="C51" s="152" t="str">
        <f t="shared" si="15"/>
        <v>Warehouse</v>
      </c>
      <c r="D51" s="52">
        <v>7</v>
      </c>
      <c r="E51" s="150">
        <f>('14. Facility 3 Warehouse'!D29/365)*$D$51</f>
        <v>3567.1232876712329</v>
      </c>
      <c r="F51" s="150">
        <f>('14. Facility 3 Warehouse'!E29/365)*$D$51</f>
        <v>3602.7945205479455</v>
      </c>
      <c r="G51" s="150">
        <f>('14. Facility 3 Warehouse'!F29/365)*$D$51</f>
        <v>3638.4657534246576</v>
      </c>
      <c r="H51" s="150">
        <f>('14. Facility 3 Warehouse'!G29/365)*$D$51</f>
        <v>3674.1369863013697</v>
      </c>
      <c r="I51" s="150">
        <f>('14. Facility 3 Warehouse'!H29/365)*$D$51</f>
        <v>3709.8082191780818</v>
      </c>
      <c r="J51" s="150">
        <f>('14. Facility 3 Warehouse'!I29/365)*$D$51</f>
        <v>3745.4794520547948</v>
      </c>
      <c r="K51" s="150">
        <f>('14. Facility 3 Warehouse'!J29/365)*$D$51</f>
        <v>3781.1506849315069</v>
      </c>
    </row>
    <row r="52" spans="1:11" ht="15.75" customHeight="1">
      <c r="B52" s="151">
        <v>6</v>
      </c>
      <c r="C52" s="152" t="str">
        <f t="shared" si="15"/>
        <v>Processing Unit - Horti Commodity</v>
      </c>
      <c r="D52" s="52">
        <v>0</v>
      </c>
      <c r="E52" s="150">
        <f>('17.Facility 6 Horti Processing '!D171/365)*$D$52</f>
        <v>0</v>
      </c>
      <c r="F52" s="150">
        <f>('17.Facility 6 Horti Processing '!E171/365)*$D$52</f>
        <v>0</v>
      </c>
      <c r="G52" s="150">
        <f>('17.Facility 6 Horti Processing '!F171/365)*$D$52</f>
        <v>0</v>
      </c>
      <c r="H52" s="150">
        <f>('17.Facility 6 Horti Processing '!G171/365)*$D$52</f>
        <v>0</v>
      </c>
      <c r="I52" s="150">
        <f>('17.Facility 6 Horti Processing '!H171/365)*$D$52</f>
        <v>0</v>
      </c>
      <c r="J52" s="150">
        <f>('17.Facility 6 Horti Processing '!I171/365)*$D$52</f>
        <v>0</v>
      </c>
      <c r="K52" s="150">
        <f>('17.Facility 6 Horti Processing '!J171/365)*$D$52</f>
        <v>0</v>
      </c>
    </row>
    <row r="53" spans="1:11" ht="15.75" customHeight="1">
      <c r="B53" s="151"/>
      <c r="C53" s="152"/>
      <c r="D53" s="52"/>
      <c r="E53" s="150"/>
      <c r="F53" s="150"/>
      <c r="G53" s="150"/>
      <c r="H53" s="150"/>
      <c r="I53" s="150"/>
      <c r="J53" s="150"/>
      <c r="K53" s="150"/>
    </row>
    <row r="54" spans="1:11" ht="15.75" customHeight="1">
      <c r="B54" s="155"/>
      <c r="C54" s="149" t="s">
        <v>82</v>
      </c>
      <c r="D54" s="52"/>
      <c r="E54" s="154">
        <f t="shared" ref="E54:K54" si="16">SUM(E47:E53)</f>
        <v>1773494.5634671233</v>
      </c>
      <c r="F54" s="154">
        <f t="shared" si="16"/>
        <v>1933495.142181678</v>
      </c>
      <c r="G54" s="154">
        <f t="shared" si="16"/>
        <v>2033997.6239850821</v>
      </c>
      <c r="H54" s="154">
        <f t="shared" si="16"/>
        <v>2143048.3096653591</v>
      </c>
      <c r="I54" s="154">
        <f t="shared" si="16"/>
        <v>2258272.8981920565</v>
      </c>
      <c r="J54" s="154">
        <f t="shared" si="16"/>
        <v>2380060.7681427817</v>
      </c>
      <c r="K54" s="154">
        <f t="shared" si="16"/>
        <v>2509631.1950249933</v>
      </c>
    </row>
    <row r="55" spans="1:11" ht="15.75" customHeight="1">
      <c r="B55" s="148" t="s">
        <v>132</v>
      </c>
      <c r="C55" s="149" t="s">
        <v>81</v>
      </c>
      <c r="D55" s="52"/>
      <c r="E55" s="154">
        <f>E44-E54</f>
        <v>11251738.483183561</v>
      </c>
      <c r="F55" s="154">
        <f t="shared" ref="F55:K55" si="17">F44-F54</f>
        <v>12118737.686008824</v>
      </c>
      <c r="G55" s="154">
        <f t="shared" si="17"/>
        <v>12827067.098252103</v>
      </c>
      <c r="H55" s="154">
        <f t="shared" si="17"/>
        <v>13582259.337925309</v>
      </c>
      <c r="I55" s="154">
        <f t="shared" si="17"/>
        <v>14381173.909303766</v>
      </c>
      <c r="J55" s="154">
        <f t="shared" si="17"/>
        <v>15200638.845306583</v>
      </c>
      <c r="K55" s="154">
        <f t="shared" si="17"/>
        <v>16072718.875274546</v>
      </c>
    </row>
    <row r="56" spans="1:11" ht="15.75" customHeight="1">
      <c r="B56" s="148"/>
      <c r="C56" s="149" t="s">
        <v>88</v>
      </c>
      <c r="D56" s="156">
        <v>0.2</v>
      </c>
      <c r="E56" s="154">
        <f>E55*$D$56</f>
        <v>2250347.6966367122</v>
      </c>
      <c r="F56" s="154"/>
      <c r="G56" s="154"/>
      <c r="H56" s="154"/>
      <c r="I56" s="154"/>
      <c r="J56" s="154"/>
      <c r="K56" s="154"/>
    </row>
    <row r="57" spans="1:11" ht="15.75" customHeight="1">
      <c r="C57" s="314" t="s">
        <v>696</v>
      </c>
      <c r="E57" s="315">
        <f>+E56/12</f>
        <v>187528.97471972601</v>
      </c>
    </row>
    <row r="58" spans="1:11" ht="15.75" customHeight="1">
      <c r="E58" s="157"/>
    </row>
    <row r="59" spans="1:11" ht="36.75" customHeight="1">
      <c r="A59" s="361" t="s">
        <v>335</v>
      </c>
      <c r="B59" s="361"/>
      <c r="C59" s="361"/>
      <c r="D59" s="361"/>
      <c r="E59" s="361"/>
      <c r="F59" s="361"/>
      <c r="G59" s="361"/>
      <c r="H59" s="361"/>
      <c r="I59" s="361"/>
      <c r="J59" s="361"/>
      <c r="K59" s="361"/>
    </row>
    <row r="60" spans="1:11" ht="15.75" customHeight="1">
      <c r="A60" t="s">
        <v>336</v>
      </c>
    </row>
    <row r="61" spans="1:11" ht="15.75" customHeight="1">
      <c r="A61">
        <v>1</v>
      </c>
      <c r="B61" s="309" t="s">
        <v>694</v>
      </c>
    </row>
    <row r="62" spans="1:11" ht="15.75" customHeight="1">
      <c r="A62">
        <v>2</v>
      </c>
      <c r="B62" t="s">
        <v>337</v>
      </c>
    </row>
    <row r="63" spans="1:11" ht="15.75" customHeight="1">
      <c r="A63">
        <v>3</v>
      </c>
      <c r="B63" s="309" t="s">
        <v>691</v>
      </c>
    </row>
    <row r="64" spans="1:11"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sheetData>
  <mergeCells count="13">
    <mergeCell ref="A59:K59"/>
    <mergeCell ref="N6:R6"/>
    <mergeCell ref="U5:V5"/>
    <mergeCell ref="U6:V6"/>
    <mergeCell ref="C2:K2"/>
    <mergeCell ref="N5:R5"/>
    <mergeCell ref="A23:K23"/>
    <mergeCell ref="B28:K28"/>
    <mergeCell ref="B30:B31"/>
    <mergeCell ref="C30:C31"/>
    <mergeCell ref="B44:C44"/>
    <mergeCell ref="D30:D31"/>
    <mergeCell ref="E30:K30"/>
  </mergeCells>
  <pageMargins left="0.7" right="0.7" top="0.75" bottom="0.75" header="0" footer="0"/>
  <pageSetup paperSize="9" scale="39" orientation="portrait" r:id="rId1"/>
</worksheet>
</file>

<file path=xl/worksheets/sheet7.xml><?xml version="1.0" encoding="utf-8"?>
<worksheet xmlns="http://schemas.openxmlformats.org/spreadsheetml/2006/main" xmlns:r="http://schemas.openxmlformats.org/officeDocument/2006/relationships">
  <dimension ref="A2:R100"/>
  <sheetViews>
    <sheetView view="pageBreakPreview" topLeftCell="A38" zoomScaleSheetLayoutView="100" workbookViewId="0">
      <selection activeCell="H53" sqref="H53"/>
    </sheetView>
  </sheetViews>
  <sheetFormatPr defaultColWidth="14.42578125" defaultRowHeight="15" customHeight="1"/>
  <cols>
    <col min="1" max="1" width="40.5703125" customWidth="1"/>
    <col min="2" max="5" width="13.42578125" customWidth="1"/>
    <col min="6" max="8" width="13.140625" customWidth="1"/>
    <col min="9" max="9" width="8.5703125" customWidth="1"/>
    <col min="10" max="10" width="10.5703125" bestFit="1" customWidth="1"/>
    <col min="11" max="11" width="8.7109375" customWidth="1"/>
  </cols>
  <sheetData>
    <row r="2" spans="1:8" ht="18.75">
      <c r="A2" s="340" t="s">
        <v>338</v>
      </c>
      <c r="B2" s="324"/>
      <c r="C2" s="324"/>
      <c r="D2" s="324"/>
      <c r="E2" s="324"/>
      <c r="F2" s="324"/>
      <c r="G2" s="324"/>
      <c r="H2" s="324"/>
    </row>
    <row r="4" spans="1:8">
      <c r="B4" s="158"/>
      <c r="C4" s="158"/>
      <c r="D4" s="158"/>
      <c r="E4" s="158"/>
      <c r="F4" s="158"/>
    </row>
    <row r="5" spans="1:8">
      <c r="A5" s="76" t="s">
        <v>142</v>
      </c>
      <c r="B5" s="77" t="s">
        <v>145</v>
      </c>
      <c r="C5" s="77" t="s">
        <v>146</v>
      </c>
      <c r="D5" s="77" t="s">
        <v>147</v>
      </c>
      <c r="E5" s="77" t="s">
        <v>148</v>
      </c>
      <c r="F5" s="77" t="s">
        <v>149</v>
      </c>
      <c r="G5" s="77" t="s">
        <v>150</v>
      </c>
      <c r="H5" s="77" t="s">
        <v>151</v>
      </c>
    </row>
    <row r="6" spans="1:8">
      <c r="A6" s="81" t="s">
        <v>339</v>
      </c>
      <c r="B6" s="78"/>
      <c r="C6" s="78"/>
      <c r="D6" s="78"/>
      <c r="E6" s="78"/>
      <c r="F6" s="78"/>
      <c r="G6" s="78"/>
      <c r="H6" s="78"/>
    </row>
    <row r="7" spans="1:8">
      <c r="A7" s="78"/>
      <c r="B7" s="78"/>
      <c r="C7" s="78"/>
      <c r="D7" s="78"/>
      <c r="E7" s="78"/>
      <c r="F7" s="78"/>
      <c r="G7" s="78"/>
      <c r="H7" s="78"/>
    </row>
    <row r="8" spans="1:8">
      <c r="A8" s="78" t="s">
        <v>340</v>
      </c>
      <c r="B8" s="80">
        <f>'12.Facility 1 - Cleaning &amp; Grad'!D228</f>
        <v>1799326.6593749998</v>
      </c>
      <c r="C8" s="80">
        <f>'12.Facility 1 - Cleaning &amp; Grad'!E228</f>
        <v>2125708.2808593754</v>
      </c>
      <c r="D8" s="80">
        <f>'12.Facility 1 - Cleaning &amp; Grad'!F228</f>
        <v>2380793.2745625</v>
      </c>
      <c r="E8" s="80">
        <f>'12.Facility 1 - Cleaning &amp; Grad'!G228</f>
        <v>2656072.496933789</v>
      </c>
      <c r="F8" s="80">
        <f>'12.Facility 1 - Cleaning &amp; Grad'!H228</f>
        <v>2952927.6583558014</v>
      </c>
      <c r="G8" s="80">
        <f>'12.Facility 1 - Cleaning &amp; Grad'!I228</f>
        <v>3272828.1546776793</v>
      </c>
      <c r="H8" s="80">
        <f>'12.Facility 1 - Cleaning &amp; Grad'!J228</f>
        <v>3617336.3814858566</v>
      </c>
    </row>
    <row r="9" spans="1:8">
      <c r="A9" s="78" t="s">
        <v>731</v>
      </c>
      <c r="B9" s="80">
        <f>'13.Facility 2 Grain Processing'!D152</f>
        <v>91683650.165624991</v>
      </c>
      <c r="C9" s="80">
        <f>'13.Facility 2 Grain Processing'!E152</f>
        <v>101195234.54578127</v>
      </c>
      <c r="D9" s="80">
        <f>'13.Facility 2 Grain Processing'!F152</f>
        <v>107177602.72619531</v>
      </c>
      <c r="E9" s="80">
        <f>'13.Facility 2 Grain Processing'!G152</f>
        <v>113505219.63828634</v>
      </c>
      <c r="F9" s="80">
        <f>'13.Facility 2 Grain Processing'!H152</f>
        <v>120197654.23477097</v>
      </c>
      <c r="G9" s="80">
        <f>'13.Facility 2 Grain Processing'!I152</f>
        <v>127275569.24180833</v>
      </c>
      <c r="H9" s="80">
        <f>'13.Facility 2 Grain Processing'!J152</f>
        <v>134760781.61396253</v>
      </c>
    </row>
    <row r="10" spans="1:8">
      <c r="A10" s="78" t="s">
        <v>341</v>
      </c>
      <c r="B10" s="80">
        <f>'14. Facility 3 Warehouse'!D18</f>
        <v>4800000</v>
      </c>
      <c r="C10" s="80">
        <f>'14. Facility 3 Warehouse'!E18</f>
        <v>5151000.0000000009</v>
      </c>
      <c r="D10" s="80">
        <f>'14. Facility 3 Warehouse'!F18</f>
        <v>5508000.0000000009</v>
      </c>
      <c r="E10" s="80">
        <f>'14. Facility 3 Warehouse'!G18</f>
        <v>5871000.0000000019</v>
      </c>
      <c r="F10" s="80">
        <f>'14. Facility 3 Warehouse'!H18</f>
        <v>6240000.0000000019</v>
      </c>
      <c r="G10" s="80">
        <f>'14. Facility 3 Warehouse'!I18</f>
        <v>6300000.0000000019</v>
      </c>
      <c r="H10" s="80">
        <f>'14. Facility 3 Warehouse'!J18</f>
        <v>6360000.0000000019</v>
      </c>
    </row>
    <row r="11" spans="1:8">
      <c r="A11" s="78" t="s">
        <v>342</v>
      </c>
      <c r="B11" s="80">
        <f>'15. Facility 4 Custom Hiring'!E39</f>
        <v>2110500</v>
      </c>
      <c r="C11" s="80">
        <f>'15. Facility 4 Custom Hiring'!F39</f>
        <v>2152710</v>
      </c>
      <c r="D11" s="80">
        <f>'15. Facility 4 Custom Hiring'!G39</f>
        <v>2173815</v>
      </c>
      <c r="E11" s="80">
        <f>'15. Facility 4 Custom Hiring'!H39</f>
        <v>2325982.0500000003</v>
      </c>
      <c r="F11" s="80">
        <f>'15. Facility 4 Custom Hiring'!I39</f>
        <v>2512060.6140000001</v>
      </c>
      <c r="G11" s="80">
        <f>'15. Facility 4 Custom Hiring'!J39</f>
        <v>2738146.0692600003</v>
      </c>
      <c r="H11" s="80">
        <f>'15. Facility 4 Custom Hiring'!K39</f>
        <v>3066723.5975711998</v>
      </c>
    </row>
    <row r="12" spans="1:8">
      <c r="A12" s="78" t="s">
        <v>343</v>
      </c>
      <c r="B12" s="80">
        <f>'16.Facility 5 Agri Input'!D191</f>
        <v>0</v>
      </c>
      <c r="C12" s="80">
        <f>'16.Facility 5 Agri Input'!E191</f>
        <v>0</v>
      </c>
      <c r="D12" s="80">
        <f>'16.Facility 5 Agri Input'!F191</f>
        <v>0</v>
      </c>
      <c r="E12" s="80">
        <f>'16.Facility 5 Agri Input'!G191</f>
        <v>0</v>
      </c>
      <c r="F12" s="80">
        <f>'16.Facility 5 Agri Input'!H191</f>
        <v>0</v>
      </c>
      <c r="G12" s="80">
        <f>'16.Facility 5 Agri Input'!I191</f>
        <v>0</v>
      </c>
      <c r="H12" s="80">
        <f>'16.Facility 5 Agri Input'!J191</f>
        <v>0</v>
      </c>
    </row>
    <row r="13" spans="1:8">
      <c r="A13" s="78" t="s">
        <v>344</v>
      </c>
      <c r="B13" s="80">
        <f>'17.Facility 6 Horti Processing '!D153</f>
        <v>0</v>
      </c>
      <c r="C13" s="80">
        <f>'17.Facility 6 Horti Processing '!E153</f>
        <v>0</v>
      </c>
      <c r="D13" s="80">
        <f>'17.Facility 6 Horti Processing '!F153</f>
        <v>0</v>
      </c>
      <c r="E13" s="80">
        <f>'17.Facility 6 Horti Processing '!G153</f>
        <v>0</v>
      </c>
      <c r="F13" s="80">
        <f>'17.Facility 6 Horti Processing '!H153</f>
        <v>0</v>
      </c>
      <c r="G13" s="80">
        <f>'17.Facility 6 Horti Processing '!I153</f>
        <v>0</v>
      </c>
      <c r="H13" s="80">
        <f>'17.Facility 6 Horti Processing '!J153</f>
        <v>0</v>
      </c>
    </row>
    <row r="14" spans="1:8">
      <c r="A14" s="78"/>
      <c r="B14" s="80"/>
      <c r="C14" s="80"/>
      <c r="D14" s="80"/>
      <c r="E14" s="80"/>
      <c r="F14" s="80"/>
      <c r="G14" s="80"/>
      <c r="H14" s="80"/>
    </row>
    <row r="15" spans="1:8">
      <c r="A15" s="81" t="s">
        <v>345</v>
      </c>
      <c r="B15" s="82">
        <f>SUM(B8:B14)</f>
        <v>100393476.82499999</v>
      </c>
      <c r="C15" s="82">
        <f t="shared" ref="C15:H15" si="0">SUM(C8:C14)</f>
        <v>110624652.82664065</v>
      </c>
      <c r="D15" s="82">
        <f t="shared" si="0"/>
        <v>117240211.0007578</v>
      </c>
      <c r="E15" s="82">
        <f t="shared" si="0"/>
        <v>124358274.18522012</v>
      </c>
      <c r="F15" s="82">
        <f t="shared" si="0"/>
        <v>131902642.50712678</v>
      </c>
      <c r="G15" s="82">
        <f t="shared" si="0"/>
        <v>139586543.46574602</v>
      </c>
      <c r="H15" s="82">
        <f t="shared" si="0"/>
        <v>147804841.59301957</v>
      </c>
    </row>
    <row r="16" spans="1:8">
      <c r="A16" s="78"/>
      <c r="B16" s="80"/>
      <c r="C16" s="80"/>
      <c r="D16" s="80"/>
      <c r="E16" s="80"/>
      <c r="F16" s="80"/>
      <c r="G16" s="80"/>
      <c r="H16" s="80"/>
    </row>
    <row r="17" spans="1:8">
      <c r="A17" s="81" t="s">
        <v>346</v>
      </c>
      <c r="B17" s="80"/>
      <c r="C17" s="80"/>
      <c r="D17" s="80"/>
      <c r="E17" s="80"/>
      <c r="F17" s="80"/>
      <c r="G17" s="80"/>
      <c r="H17" s="80"/>
    </row>
    <row r="18" spans="1:8">
      <c r="A18" s="78" t="str">
        <f t="shared" ref="A18:A23" si="1">A8</f>
        <v>Faclitiy 1 - Cleaning &amp; Grading</v>
      </c>
      <c r="B18" s="80">
        <f>'12.Facility 1 - Cleaning &amp; Grad'!D291</f>
        <v>1362242.8013906251</v>
      </c>
      <c r="C18" s="80">
        <f>'12.Facility 1 - Cleaning &amp; Grad'!E291</f>
        <v>1604220.1411113283</v>
      </c>
      <c r="D18" s="80">
        <f>'12.Facility 1 - Cleaning &amp; Grad'!F291</f>
        <v>1797085.0429924224</v>
      </c>
      <c r="E18" s="80">
        <f>'12.Facility 1 - Cleaning &amp; Grad'!G291</f>
        <v>2005225.8847088465</v>
      </c>
      <c r="F18" s="80">
        <f>'12.Facility 1 - Cleaning &amp; Grad'!H291</f>
        <v>2229688.0979894339</v>
      </c>
      <c r="G18" s="80">
        <f>'12.Facility 1 - Cleaning &amp; Grad'!I291</f>
        <v>2471583.4678863054</v>
      </c>
      <c r="H18" s="80">
        <f>'12.Facility 1 - Cleaning &amp; Grad'!J291</f>
        <v>2732094.1545278919</v>
      </c>
    </row>
    <row r="19" spans="1:8">
      <c r="A19" s="78" t="str">
        <f t="shared" si="1"/>
        <v>Faclitiy 2 - Processing Unit Paddy &amp; Rice</v>
      </c>
      <c r="B19" s="80">
        <f>'13.Facility 2 Grain Processing'!D176</f>
        <v>89338330.865109384</v>
      </c>
      <c r="C19" s="80">
        <f>'13.Facility 2 Grain Processing'!E176</f>
        <v>97405610.844076186</v>
      </c>
      <c r="D19" s="80">
        <f>'13.Facility 2 Grain Processing'!F176</f>
        <v>102435487.49337257</v>
      </c>
      <c r="E19" s="80">
        <f>'13.Facility 2 Grain Processing'!G176</f>
        <v>107797170.12641346</v>
      </c>
      <c r="F19" s="80">
        <f>'13.Facility 2 Grain Processing'!H176</f>
        <v>113438932.30402495</v>
      </c>
      <c r="G19" s="80">
        <f>'13.Facility 2 Grain Processing'!I176</f>
        <v>119375377.77408159</v>
      </c>
      <c r="H19" s="80">
        <f>'13.Facility 2 Grain Processing'!J176</f>
        <v>125621870.46038382</v>
      </c>
    </row>
    <row r="20" spans="1:8">
      <c r="A20" s="78" t="str">
        <f t="shared" si="1"/>
        <v>Faclitiy 3 - Warehouse</v>
      </c>
      <c r="B20" s="80">
        <f>'14. Facility 3 Warehouse'!D29</f>
        <v>186000</v>
      </c>
      <c r="C20" s="80">
        <f>'14. Facility 3 Warehouse'!E29</f>
        <v>187860</v>
      </c>
      <c r="D20" s="80">
        <f>'14. Facility 3 Warehouse'!F29</f>
        <v>189720</v>
      </c>
      <c r="E20" s="80">
        <f>'14. Facility 3 Warehouse'!G29</f>
        <v>191580</v>
      </c>
      <c r="F20" s="80">
        <f>'14. Facility 3 Warehouse'!H29</f>
        <v>193440</v>
      </c>
      <c r="G20" s="80">
        <f>'14. Facility 3 Warehouse'!I29</f>
        <v>195300</v>
      </c>
      <c r="H20" s="80">
        <f>'14. Facility 3 Warehouse'!J29</f>
        <v>197160</v>
      </c>
    </row>
    <row r="21" spans="1:8" ht="15.75" customHeight="1">
      <c r="A21" s="78" t="str">
        <f t="shared" si="1"/>
        <v xml:space="preserve">Faclitiy 4 - Custom Hiring </v>
      </c>
      <c r="B21" s="80">
        <f>'15. Facility 4 Custom Hiring'!E49</f>
        <v>1588500</v>
      </c>
      <c r="C21" s="80">
        <f>'15. Facility 4 Custom Hiring'!F49</f>
        <v>1620270</v>
      </c>
      <c r="D21" s="80">
        <f>'15. Facility 4 Custom Hiring'!G49</f>
        <v>1636155</v>
      </c>
      <c r="E21" s="80">
        <f>'15. Facility 4 Custom Hiring'!H49</f>
        <v>1750685.85</v>
      </c>
      <c r="F21" s="80">
        <f>'15. Facility 4 Custom Hiring'!I49</f>
        <v>1890740.7180000001</v>
      </c>
      <c r="G21" s="80">
        <f>'15. Facility 4 Custom Hiring'!J49</f>
        <v>2060907.38262</v>
      </c>
      <c r="H21" s="80">
        <f>'15. Facility 4 Custom Hiring'!K49</f>
        <v>2308216.2685344</v>
      </c>
    </row>
    <row r="22" spans="1:8" ht="15.75" customHeight="1">
      <c r="A22" s="78" t="str">
        <f t="shared" si="1"/>
        <v>Faclitiy 5 - Agri Input Centre</v>
      </c>
      <c r="B22" s="80">
        <f>'16.Facility 5 Agri Input'!D262</f>
        <v>0</v>
      </c>
      <c r="C22" s="80">
        <f>'16.Facility 5 Agri Input'!E262</f>
        <v>0</v>
      </c>
      <c r="D22" s="80">
        <f>'16.Facility 5 Agri Input'!F262</f>
        <v>0</v>
      </c>
      <c r="E22" s="80">
        <f>'16.Facility 5 Agri Input'!G262</f>
        <v>0</v>
      </c>
      <c r="F22" s="80">
        <f>'16.Facility 5 Agri Input'!H262</f>
        <v>0</v>
      </c>
      <c r="G22" s="80">
        <f>'16.Facility 5 Agri Input'!I262</f>
        <v>0</v>
      </c>
      <c r="H22" s="80">
        <f>'16.Facility 5 Agri Input'!J262</f>
        <v>0</v>
      </c>
    </row>
    <row r="23" spans="1:8" ht="15.75" customHeight="1">
      <c r="A23" s="78" t="str">
        <f t="shared" si="1"/>
        <v>Facility 6 - Processing Unit - Horti Commodity</v>
      </c>
      <c r="B23" s="80">
        <f>'17.Facility 6 Horti Processing '!D171</f>
        <v>0</v>
      </c>
      <c r="C23" s="80">
        <f>'17.Facility 6 Horti Processing '!E171</f>
        <v>0</v>
      </c>
      <c r="D23" s="80">
        <f>'17.Facility 6 Horti Processing '!F171</f>
        <v>0</v>
      </c>
      <c r="E23" s="80">
        <f>'17.Facility 6 Horti Processing '!G171</f>
        <v>0</v>
      </c>
      <c r="F23" s="80">
        <f>'17.Facility 6 Horti Processing '!H171</f>
        <v>0</v>
      </c>
      <c r="G23" s="80">
        <f>'17.Facility 6 Horti Processing '!I171</f>
        <v>0</v>
      </c>
      <c r="H23" s="80">
        <f>'17.Facility 6 Horti Processing '!J171</f>
        <v>0</v>
      </c>
    </row>
    <row r="24" spans="1:8" ht="15.75" customHeight="1">
      <c r="A24" s="78"/>
      <c r="B24" s="80"/>
      <c r="C24" s="80"/>
      <c r="D24" s="80"/>
      <c r="E24" s="80"/>
      <c r="F24" s="80"/>
      <c r="G24" s="80"/>
      <c r="H24" s="80"/>
    </row>
    <row r="25" spans="1:8" ht="15.75" customHeight="1">
      <c r="A25" s="81" t="s">
        <v>347</v>
      </c>
      <c r="B25" s="82">
        <f>SUM(B18:B24)</f>
        <v>92475073.666500002</v>
      </c>
      <c r="C25" s="82">
        <f t="shared" ref="C25:H25" si="2">SUM(C18:C24)</f>
        <v>100817960.98518752</v>
      </c>
      <c r="D25" s="82">
        <f t="shared" si="2"/>
        <v>106058447.536365</v>
      </c>
      <c r="E25" s="82">
        <f t="shared" si="2"/>
        <v>111744661.86112231</v>
      </c>
      <c r="F25" s="82">
        <f t="shared" si="2"/>
        <v>117752801.12001438</v>
      </c>
      <c r="G25" s="82">
        <f t="shared" si="2"/>
        <v>124103168.62458789</v>
      </c>
      <c r="H25" s="82">
        <f t="shared" si="2"/>
        <v>130859340.88344611</v>
      </c>
    </row>
    <row r="26" spans="1:8" ht="15.75" customHeight="1">
      <c r="A26" s="78"/>
      <c r="B26" s="80"/>
      <c r="C26" s="80"/>
      <c r="D26" s="80"/>
      <c r="E26" s="80"/>
      <c r="F26" s="80"/>
      <c r="G26" s="80"/>
      <c r="H26" s="80"/>
    </row>
    <row r="27" spans="1:8" ht="15.75" customHeight="1">
      <c r="A27" s="81" t="s">
        <v>348</v>
      </c>
      <c r="B27" s="80"/>
      <c r="C27" s="80"/>
      <c r="D27" s="80"/>
      <c r="E27" s="80"/>
      <c r="F27" s="80"/>
      <c r="G27" s="80"/>
      <c r="H27" s="80"/>
    </row>
    <row r="28" spans="1:8" ht="15.75" customHeight="1">
      <c r="A28" s="78" t="str">
        <f t="shared" ref="A28:A33" si="3">A18</f>
        <v>Faclitiy 1 - Cleaning &amp; Grading</v>
      </c>
      <c r="B28" s="80">
        <f>'12.Facility 1 - Cleaning &amp; Grad'!D300</f>
        <v>336000</v>
      </c>
      <c r="C28" s="80">
        <f>'12.Facility 1 - Cleaning &amp; Grad'!E300</f>
        <v>360000</v>
      </c>
      <c r="D28" s="80">
        <f>'12.Facility 1 - Cleaning &amp; Grad'!F300</f>
        <v>384000</v>
      </c>
      <c r="E28" s="80">
        <f>'12.Facility 1 - Cleaning &amp; Grad'!G300</f>
        <v>408000</v>
      </c>
      <c r="F28" s="80">
        <f>'12.Facility 1 - Cleaning &amp; Grad'!H300</f>
        <v>432000</v>
      </c>
      <c r="G28" s="80">
        <f>'12.Facility 1 - Cleaning &amp; Grad'!I300</f>
        <v>456000</v>
      </c>
      <c r="H28" s="80">
        <f>'12.Facility 1 - Cleaning &amp; Grad'!J300</f>
        <v>480000</v>
      </c>
    </row>
    <row r="29" spans="1:8" ht="15.75" customHeight="1">
      <c r="A29" s="78" t="str">
        <f t="shared" si="3"/>
        <v>Faclitiy 2 - Processing Unit Paddy &amp; Rice</v>
      </c>
      <c r="B29" s="80">
        <f>'13.Facility 2 Grain Processing'!D184</f>
        <v>503999.99999999994</v>
      </c>
      <c r="C29" s="80">
        <f>'13.Facility 2 Grain Processing'!E184</f>
        <v>540000</v>
      </c>
      <c r="D29" s="80">
        <f>'13.Facility 2 Grain Processing'!F184</f>
        <v>576000</v>
      </c>
      <c r="E29" s="80">
        <f>'13.Facility 2 Grain Processing'!G184</f>
        <v>612000</v>
      </c>
      <c r="F29" s="80">
        <f>'13.Facility 2 Grain Processing'!H184</f>
        <v>648000</v>
      </c>
      <c r="G29" s="80">
        <f>'13.Facility 2 Grain Processing'!I184</f>
        <v>684000</v>
      </c>
      <c r="H29" s="80">
        <f>'13.Facility 2 Grain Processing'!J184</f>
        <v>720000</v>
      </c>
    </row>
    <row r="30" spans="1:8" ht="15.75" customHeight="1">
      <c r="A30" s="78" t="str">
        <f t="shared" si="3"/>
        <v>Faclitiy 3 - Warehouse</v>
      </c>
      <c r="B30" s="80">
        <f>'14. Facility 3 Warehouse'!D38</f>
        <v>216000</v>
      </c>
      <c r="C30" s="80">
        <f>'14. Facility 3 Warehouse'!E38</f>
        <v>218160</v>
      </c>
      <c r="D30" s="80">
        <f>'14. Facility 3 Warehouse'!F38</f>
        <v>220320</v>
      </c>
      <c r="E30" s="80">
        <f>'14. Facility 3 Warehouse'!G38</f>
        <v>222480</v>
      </c>
      <c r="F30" s="80">
        <f>'14. Facility 3 Warehouse'!H38</f>
        <v>224640</v>
      </c>
      <c r="G30" s="80">
        <f>'14. Facility 3 Warehouse'!I38</f>
        <v>226800</v>
      </c>
      <c r="H30" s="80">
        <f>'14. Facility 3 Warehouse'!J38</f>
        <v>228960</v>
      </c>
    </row>
    <row r="31" spans="1:8" ht="15.75" customHeight="1">
      <c r="A31" s="78" t="str">
        <f t="shared" si="3"/>
        <v xml:space="preserve">Faclitiy 4 - Custom Hiring </v>
      </c>
      <c r="B31" s="80">
        <f>'15. Facility 4 Custom Hiring'!E56</f>
        <v>504000</v>
      </c>
      <c r="C31" s="80">
        <f>'15. Facility 4 Custom Hiring'!F56</f>
        <v>514080</v>
      </c>
      <c r="D31" s="80">
        <f>'15. Facility 4 Custom Hiring'!G56</f>
        <v>519120</v>
      </c>
      <c r="E31" s="80">
        <f>'15. Facility 4 Custom Hiring'!H56</f>
        <v>555458.4</v>
      </c>
      <c r="F31" s="80">
        <f>'15. Facility 4 Custom Hiring'!I56</f>
        <v>599895.07200000004</v>
      </c>
      <c r="G31" s="80">
        <f>'15. Facility 4 Custom Hiring'!J56</f>
        <v>653885.62848000007</v>
      </c>
      <c r="H31" s="80">
        <f>'15. Facility 4 Custom Hiring'!K56</f>
        <v>732351.90389760002</v>
      </c>
    </row>
    <row r="32" spans="1:8" ht="15.75" customHeight="1">
      <c r="A32" s="78" t="str">
        <f t="shared" si="3"/>
        <v>Faclitiy 5 - Agri Input Centre</v>
      </c>
      <c r="B32" s="80">
        <f>'16.Facility 5 Agri Input'!D273</f>
        <v>0</v>
      </c>
      <c r="C32" s="80">
        <f>'16.Facility 5 Agri Input'!E273</f>
        <v>0</v>
      </c>
      <c r="D32" s="80">
        <f>'16.Facility 5 Agri Input'!F273</f>
        <v>0</v>
      </c>
      <c r="E32" s="80">
        <f>'16.Facility 5 Agri Input'!G273</f>
        <v>0</v>
      </c>
      <c r="F32" s="80">
        <f>'16.Facility 5 Agri Input'!H273</f>
        <v>0</v>
      </c>
      <c r="G32" s="80">
        <f>'16.Facility 5 Agri Input'!I273</f>
        <v>0</v>
      </c>
      <c r="H32" s="80">
        <f>'16.Facility 5 Agri Input'!J273</f>
        <v>0</v>
      </c>
    </row>
    <row r="33" spans="1:18" ht="15.75" customHeight="1">
      <c r="A33" s="78" t="str">
        <f t="shared" si="3"/>
        <v>Facility 6 - Processing Unit - Horti Commodity</v>
      </c>
      <c r="B33" s="80">
        <f>'17.Facility 6 Horti Processing '!D179</f>
        <v>0</v>
      </c>
      <c r="C33" s="80">
        <f>'17.Facility 6 Horti Processing '!E179</f>
        <v>0</v>
      </c>
      <c r="D33" s="80">
        <f>'17.Facility 6 Horti Processing '!F179</f>
        <v>0</v>
      </c>
      <c r="E33" s="80">
        <f>'17.Facility 6 Horti Processing '!G179</f>
        <v>0</v>
      </c>
      <c r="F33" s="80">
        <f>'17.Facility 6 Horti Processing '!H179</f>
        <v>0</v>
      </c>
      <c r="G33" s="80">
        <f>'17.Facility 6 Horti Processing '!I179</f>
        <v>0</v>
      </c>
      <c r="H33" s="80">
        <f>'17.Facility 6 Horti Processing '!J179</f>
        <v>0</v>
      </c>
    </row>
    <row r="34" spans="1:18" ht="15.75" customHeight="1">
      <c r="A34" s="78"/>
      <c r="B34" s="80"/>
      <c r="C34" s="80"/>
      <c r="D34" s="80"/>
      <c r="E34" s="80"/>
      <c r="F34" s="80"/>
      <c r="G34" s="80"/>
      <c r="H34" s="80"/>
    </row>
    <row r="35" spans="1:18" ht="15.75" customHeight="1">
      <c r="A35" s="78" t="s">
        <v>349</v>
      </c>
      <c r="B35" s="80">
        <f>'3.Other Exp &amp; Taxes'!E23</f>
        <v>1379000</v>
      </c>
      <c r="C35" s="80">
        <f>'3.Other Exp &amp; Taxes'!F23</f>
        <v>1447950</v>
      </c>
      <c r="D35" s="80">
        <f>'3.Other Exp &amp; Taxes'!G23</f>
        <v>1556546.2500000002</v>
      </c>
      <c r="E35" s="80">
        <f>'3.Other Exp &amp; Taxes'!H23</f>
        <v>1712200.8750000002</v>
      </c>
      <c r="F35" s="80">
        <f>'3.Other Exp &amp; Taxes'!I23</f>
        <v>1926225.9843750002</v>
      </c>
      <c r="G35" s="80">
        <f>'3.Other Exp &amp; Taxes'!J23</f>
        <v>2215159.8820312503</v>
      </c>
      <c r="H35" s="80">
        <f>'3.Other Exp &amp; Taxes'!K23</f>
        <v>2602812.8613867192</v>
      </c>
    </row>
    <row r="36" spans="1:18" ht="15.75" customHeight="1">
      <c r="A36" s="81" t="s">
        <v>350</v>
      </c>
      <c r="B36" s="82">
        <f>SUM(B28:B35)</f>
        <v>2939000</v>
      </c>
      <c r="C36" s="82">
        <f>SUM(C28:C35)</f>
        <v>3080190</v>
      </c>
      <c r="D36" s="82">
        <f>SUM(D28:D35)</f>
        <v>3255986.25</v>
      </c>
      <c r="E36" s="82">
        <f t="shared" ref="E36:H36" si="4">SUM(E28:E35)</f>
        <v>3510139.2750000004</v>
      </c>
      <c r="F36" s="82">
        <f t="shared" si="4"/>
        <v>3830761.0563750006</v>
      </c>
      <c r="G36" s="82">
        <f t="shared" si="4"/>
        <v>4235845.5105112502</v>
      </c>
      <c r="H36" s="82">
        <f t="shared" si="4"/>
        <v>4764124.7652843194</v>
      </c>
    </row>
    <row r="37" spans="1:18" ht="15.75" customHeight="1">
      <c r="A37" s="78"/>
      <c r="B37" s="80"/>
      <c r="C37" s="80"/>
      <c r="D37" s="80"/>
      <c r="E37" s="80"/>
      <c r="F37" s="80"/>
      <c r="G37" s="80"/>
      <c r="H37" s="80"/>
    </row>
    <row r="38" spans="1:18" ht="15.75" customHeight="1">
      <c r="A38" s="81" t="s">
        <v>351</v>
      </c>
      <c r="B38" s="82">
        <f>B25+B36</f>
        <v>95414073.666500002</v>
      </c>
      <c r="C38" s="82">
        <f t="shared" ref="C38:H38" si="5">C25+C36</f>
        <v>103898150.98518752</v>
      </c>
      <c r="D38" s="82">
        <f t="shared" si="5"/>
        <v>109314433.786365</v>
      </c>
      <c r="E38" s="82">
        <f t="shared" si="5"/>
        <v>115254801.13612232</v>
      </c>
      <c r="F38" s="82">
        <f t="shared" si="5"/>
        <v>121583562.17638938</v>
      </c>
      <c r="G38" s="82">
        <f t="shared" si="5"/>
        <v>128339014.13509914</v>
      </c>
      <c r="H38" s="82">
        <f t="shared" si="5"/>
        <v>135623465.64873043</v>
      </c>
    </row>
    <row r="39" spans="1:18" ht="15.75" customHeight="1">
      <c r="A39" s="78"/>
      <c r="B39" s="80"/>
      <c r="C39" s="80"/>
      <c r="D39" s="80"/>
      <c r="E39" s="80"/>
      <c r="F39" s="80"/>
      <c r="G39" s="80"/>
      <c r="H39" s="80"/>
    </row>
    <row r="40" spans="1:18" ht="15.75" customHeight="1">
      <c r="A40" s="81" t="s">
        <v>352</v>
      </c>
      <c r="B40" s="82">
        <f>B15-B38</f>
        <v>4979403.1584999859</v>
      </c>
      <c r="C40" s="82">
        <f t="shared" ref="C40:H40" si="6">C15-C38</f>
        <v>6726501.841453135</v>
      </c>
      <c r="D40" s="82">
        <f t="shared" si="6"/>
        <v>7925777.2143927962</v>
      </c>
      <c r="E40" s="82">
        <f t="shared" si="6"/>
        <v>9103473.0490978062</v>
      </c>
      <c r="F40" s="82">
        <f t="shared" si="6"/>
        <v>10319080.330737397</v>
      </c>
      <c r="G40" s="82">
        <f t="shared" si="6"/>
        <v>11247529.330646873</v>
      </c>
      <c r="H40" s="82">
        <f t="shared" si="6"/>
        <v>12181375.944289148</v>
      </c>
      <c r="J40" s="159">
        <f>B49+B42+B43</f>
        <v>2967922.0292394292</v>
      </c>
      <c r="K40" s="157">
        <f>+B40/B15*100</f>
        <v>4.9598871520106718</v>
      </c>
      <c r="L40" s="157">
        <f t="shared" ref="L40:P40" si="7">+C40/C15*100</f>
        <v>6.0804727242798249</v>
      </c>
      <c r="M40" s="157">
        <f t="shared" si="7"/>
        <v>6.7602891079252379</v>
      </c>
      <c r="N40" s="157">
        <f t="shared" si="7"/>
        <v>7.3203597498780235</v>
      </c>
      <c r="O40" s="157">
        <f t="shared" si="7"/>
        <v>7.8232551938296844</v>
      </c>
      <c r="P40" s="157">
        <f t="shared" si="7"/>
        <v>8.0577461490096791</v>
      </c>
      <c r="Q40" s="157">
        <f>+H40/H15*100</f>
        <v>8.241527011564715</v>
      </c>
      <c r="R40" s="157"/>
    </row>
    <row r="41" spans="1:18" ht="15.75" customHeight="1">
      <c r="A41" s="78"/>
      <c r="B41" s="80"/>
      <c r="C41" s="80"/>
      <c r="D41" s="80"/>
      <c r="E41" s="80"/>
      <c r="F41" s="80"/>
      <c r="G41" s="80"/>
      <c r="H41" s="80"/>
      <c r="J41" s="160">
        <f>'5.Closing Stock &amp; W Capital'!E56</f>
        <v>2250347.6966367122</v>
      </c>
    </row>
    <row r="42" spans="1:18" ht="15.75" customHeight="1">
      <c r="A42" s="78" t="s">
        <v>171</v>
      </c>
      <c r="B42" s="80">
        <f>'3.Other Exp &amp; Taxes'!C66</f>
        <v>1050659.8939999999</v>
      </c>
      <c r="C42" s="80">
        <f>'3.Other Exp &amp; Taxes'!D66</f>
        <v>1050659.8939999999</v>
      </c>
      <c r="D42" s="80">
        <f>'3.Other Exp &amp; Taxes'!E66</f>
        <v>1050659.8939999999</v>
      </c>
      <c r="E42" s="80">
        <f>'3.Other Exp &amp; Taxes'!F66</f>
        <v>1050659.8939999999</v>
      </c>
      <c r="F42" s="80">
        <f>'3.Other Exp &amp; Taxes'!G66</f>
        <v>1050659.8939999999</v>
      </c>
      <c r="G42" s="80">
        <f>'3.Other Exp &amp; Taxes'!H66</f>
        <v>1050659.8939999999</v>
      </c>
      <c r="H42" s="80">
        <f>'3.Other Exp &amp; Taxes'!I66</f>
        <v>1050659.8939999999</v>
      </c>
      <c r="J42" s="159">
        <f>J40+J41</f>
        <v>5218269.7258761413</v>
      </c>
    </row>
    <row r="43" spans="1:18" ht="15.75" customHeight="1">
      <c r="A43" s="78" t="s">
        <v>353</v>
      </c>
      <c r="B43" s="80">
        <f>'3.Other Exp &amp; Taxes'!C86</f>
        <v>100000</v>
      </c>
      <c r="C43" s="80">
        <f>'3.Other Exp &amp; Taxes'!D86</f>
        <v>100000</v>
      </c>
      <c r="D43" s="80">
        <f>'3.Other Exp &amp; Taxes'!E86</f>
        <v>100000</v>
      </c>
      <c r="E43" s="80">
        <f>'3.Other Exp &amp; Taxes'!F86</f>
        <v>100000</v>
      </c>
      <c r="F43" s="80">
        <f>'3.Other Exp &amp; Taxes'!G86</f>
        <v>100000</v>
      </c>
      <c r="G43" s="80">
        <f>'3.Other Exp &amp; Taxes'!H86</f>
        <v>0</v>
      </c>
      <c r="H43" s="80">
        <f>'3.Other Exp &amp; Taxes'!I86</f>
        <v>0</v>
      </c>
    </row>
    <row r="44" spans="1:18" ht="15.75" customHeight="1">
      <c r="A44" s="78"/>
      <c r="B44" s="80"/>
      <c r="C44" s="80"/>
      <c r="D44" s="80"/>
      <c r="E44" s="80"/>
      <c r="F44" s="80"/>
      <c r="G44" s="80"/>
      <c r="H44" s="80"/>
    </row>
    <row r="45" spans="1:18" ht="15.75" customHeight="1">
      <c r="A45" s="81" t="s">
        <v>354</v>
      </c>
      <c r="B45" s="82">
        <f>B40-B42-B43</f>
        <v>3828743.2644999861</v>
      </c>
      <c r="C45" s="82">
        <f t="shared" ref="C45:H45" si="8">C40-C42-C43</f>
        <v>5575841.9474531356</v>
      </c>
      <c r="D45" s="82">
        <f t="shared" si="8"/>
        <v>6775117.3203927968</v>
      </c>
      <c r="E45" s="82">
        <f t="shared" si="8"/>
        <v>7952813.1550978068</v>
      </c>
      <c r="F45" s="82">
        <f t="shared" si="8"/>
        <v>9168420.4367373977</v>
      </c>
      <c r="G45" s="82">
        <f t="shared" si="8"/>
        <v>10196869.436646873</v>
      </c>
      <c r="H45" s="82">
        <f t="shared" si="8"/>
        <v>11130716.050289148</v>
      </c>
    </row>
    <row r="46" spans="1:18" ht="15.75" customHeight="1">
      <c r="A46" s="78"/>
      <c r="B46" s="80"/>
      <c r="C46" s="80"/>
      <c r="D46" s="80"/>
      <c r="E46" s="80"/>
      <c r="F46" s="80"/>
      <c r="G46" s="80"/>
      <c r="H46" s="80"/>
    </row>
    <row r="47" spans="1:18" ht="15.75" customHeight="1">
      <c r="A47" s="78" t="s">
        <v>355</v>
      </c>
      <c r="B47" s="80">
        <f>'8.Cash Flow '!C26+'8.Cash Flow '!C28</f>
        <v>2011481.1292605565</v>
      </c>
      <c r="C47" s="80">
        <f>'8.Cash Flow '!D26+'8.Cash Flow '!D28</f>
        <v>2127583.1438701847</v>
      </c>
      <c r="D47" s="80">
        <f>'8.Cash Flow '!E26+'8.Cash Flow '!E28</f>
        <v>1788581.7332492652</v>
      </c>
      <c r="E47" s="80">
        <f>'8.Cash Flow '!F26+'8.Cash Flow '!F28</f>
        <v>1629871.120551039</v>
      </c>
      <c r="F47" s="80">
        <f>'8.Cash Flow '!G26+'8.Cash Flow '!G28</f>
        <v>1725740.8691164539</v>
      </c>
      <c r="G47" s="80">
        <f>'8.Cash Flow '!H26+'8.Cash Flow '!H28</f>
        <v>1824076.6614367922</v>
      </c>
      <c r="H47" s="80">
        <f>'8.Cash Flow '!I26+'8.Cash Flow '!I28</f>
        <v>1928726.265032948</v>
      </c>
    </row>
    <row r="48" spans="1:18" ht="15.75" customHeight="1">
      <c r="A48" s="78"/>
      <c r="B48" s="80"/>
      <c r="C48" s="80"/>
      <c r="D48" s="80"/>
      <c r="E48" s="80"/>
      <c r="F48" s="80"/>
      <c r="G48" s="80"/>
      <c r="H48" s="80"/>
    </row>
    <row r="49" spans="1:8" ht="15.75" customHeight="1">
      <c r="A49" s="78" t="s">
        <v>356</v>
      </c>
      <c r="B49" s="80">
        <f>B45-B47</f>
        <v>1817262.1352394295</v>
      </c>
      <c r="C49" s="80">
        <f t="shared" ref="C49:H49" si="9">C45-C47</f>
        <v>3448258.803582951</v>
      </c>
      <c r="D49" s="80">
        <f>D45-D47</f>
        <v>4986535.5871435311</v>
      </c>
      <c r="E49" s="80">
        <f t="shared" si="9"/>
        <v>6322942.0345467683</v>
      </c>
      <c r="F49" s="80">
        <f t="shared" si="9"/>
        <v>7442679.5676209442</v>
      </c>
      <c r="G49" s="80">
        <f t="shared" si="9"/>
        <v>8372792.7752100807</v>
      </c>
      <c r="H49" s="80">
        <f t="shared" si="9"/>
        <v>9201989.7852561995</v>
      </c>
    </row>
    <row r="50" spans="1:8" ht="15.75" customHeight="1">
      <c r="A50" s="78" t="s">
        <v>357</v>
      </c>
      <c r="B50" s="80">
        <f>'3.Other Exp &amp; Taxes'!B99</f>
        <v>4069.0076022515818</v>
      </c>
      <c r="C50" s="80">
        <f>'3.Other Exp &amp; Taxes'!C99</f>
        <v>523825.89937156718</v>
      </c>
      <c r="D50" s="80">
        <f>'3.Other Exp &amp; Taxes'!D99</f>
        <v>1005619.702397318</v>
      </c>
      <c r="E50" s="80">
        <f>'3.Other Exp &amp; Taxes'!E99</f>
        <v>1423521.9486271597</v>
      </c>
      <c r="F50" s="80">
        <f>'3.Other Exp &amp; Taxes'!F99</f>
        <v>1775561.9790956953</v>
      </c>
      <c r="G50" s="80">
        <f>'3.Other Exp &amp; Taxes'!G99</f>
        <v>2070248.8818227334</v>
      </c>
      <c r="H50" s="80">
        <f>'3.Other Exp &amp; Taxes'!H99</f>
        <v>2331837.0281500076</v>
      </c>
    </row>
    <row r="51" spans="1:8" ht="15.75" customHeight="1">
      <c r="A51" s="81" t="s">
        <v>358</v>
      </c>
      <c r="B51" s="80">
        <f t="shared" ref="B51:H51" si="10">B49-B50</f>
        <v>1813193.1276371779</v>
      </c>
      <c r="C51" s="80">
        <f t="shared" si="10"/>
        <v>2924432.9042113838</v>
      </c>
      <c r="D51" s="80">
        <f t="shared" si="10"/>
        <v>3980915.884746213</v>
      </c>
      <c r="E51" s="80">
        <f t="shared" si="10"/>
        <v>4899420.0859196084</v>
      </c>
      <c r="F51" s="80">
        <f t="shared" si="10"/>
        <v>5667117.5885252487</v>
      </c>
      <c r="G51" s="80">
        <f t="shared" si="10"/>
        <v>6302543.8933873475</v>
      </c>
      <c r="H51" s="80">
        <f t="shared" si="10"/>
        <v>6870152.7571061924</v>
      </c>
    </row>
    <row r="52" spans="1:8" ht="15.75" customHeight="1">
      <c r="A52" s="73"/>
      <c r="B52" s="119"/>
      <c r="C52" s="119"/>
      <c r="D52" s="119"/>
      <c r="E52" s="119"/>
      <c r="F52" s="119"/>
      <c r="G52" s="119"/>
      <c r="H52" s="119"/>
    </row>
    <row r="53" spans="1:8" ht="15.75" customHeight="1">
      <c r="A53" s="73" t="s">
        <v>359</v>
      </c>
      <c r="B53" s="119">
        <f>B51</f>
        <v>1813193.1276371779</v>
      </c>
      <c r="C53" s="119">
        <f>B53+C51</f>
        <v>4737626.031848562</v>
      </c>
      <c r="D53" s="119">
        <f t="shared" ref="D53:H53" si="11">C53+D51</f>
        <v>8718541.9165947754</v>
      </c>
      <c r="E53" s="119">
        <f t="shared" si="11"/>
        <v>13617962.002514385</v>
      </c>
      <c r="F53" s="119">
        <f t="shared" si="11"/>
        <v>19285079.591039635</v>
      </c>
      <c r="G53" s="119">
        <f t="shared" si="11"/>
        <v>25587623.484426983</v>
      </c>
      <c r="H53" s="119">
        <f t="shared" si="11"/>
        <v>32457776.241533175</v>
      </c>
    </row>
    <row r="54" spans="1:8" ht="15.75" customHeight="1">
      <c r="B54" s="157"/>
      <c r="C54" s="157"/>
      <c r="D54" s="157"/>
      <c r="E54" s="157"/>
      <c r="F54" s="157"/>
      <c r="G54" s="157"/>
      <c r="H54" s="157"/>
    </row>
    <row r="55" spans="1:8" ht="15.75" customHeight="1"/>
    <row r="56" spans="1:8" ht="32.25" customHeight="1">
      <c r="A56" s="368" t="s">
        <v>360</v>
      </c>
      <c r="B56" s="368"/>
      <c r="C56" s="368"/>
      <c r="D56" s="368"/>
      <c r="E56" s="368"/>
      <c r="F56" s="368"/>
      <c r="G56" s="368"/>
      <c r="H56" s="368"/>
    </row>
    <row r="57" spans="1:8" ht="15.75" customHeight="1"/>
    <row r="58" spans="1:8" ht="15.75" customHeight="1">
      <c r="A58" s="161"/>
    </row>
    <row r="59" spans="1:8" ht="15.75" customHeight="1"/>
    <row r="60" spans="1:8" ht="15.75" customHeight="1"/>
    <row r="61" spans="1:8" ht="15.75" customHeight="1"/>
    <row r="62" spans="1:8" ht="15.75" customHeight="1"/>
    <row r="63" spans="1:8" ht="15.75" customHeight="1"/>
    <row r="64" spans="1:8"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sheetData>
  <mergeCells count="2">
    <mergeCell ref="A2:H2"/>
    <mergeCell ref="A56:H56"/>
  </mergeCells>
  <pageMargins left="0.7" right="0.7" top="0.75" bottom="0.75" header="0" footer="0"/>
  <pageSetup scale="66" orientation="portrait" r:id="rId1"/>
</worksheet>
</file>

<file path=xl/worksheets/sheet8.xml><?xml version="1.0" encoding="utf-8"?>
<worksheet xmlns="http://schemas.openxmlformats.org/spreadsheetml/2006/main" xmlns:r="http://schemas.openxmlformats.org/officeDocument/2006/relationships">
  <dimension ref="A1:R100"/>
  <sheetViews>
    <sheetView view="pageBreakPreview" topLeftCell="A37" zoomScaleSheetLayoutView="100" workbookViewId="0">
      <selection activeCell="D49" sqref="D49"/>
    </sheetView>
  </sheetViews>
  <sheetFormatPr defaultColWidth="14.42578125" defaultRowHeight="15" customHeight="1"/>
  <cols>
    <col min="1" max="1" width="37.28515625" customWidth="1"/>
    <col min="2" max="2" width="18.42578125" customWidth="1"/>
    <col min="3" max="3" width="12.42578125" customWidth="1"/>
    <col min="4" max="6" width="13.5703125" customWidth="1"/>
    <col min="7" max="7" width="12.42578125" customWidth="1"/>
    <col min="8" max="8" width="13.140625" bestFit="1" customWidth="1"/>
    <col min="9" max="9" width="9.140625" customWidth="1"/>
    <col min="10" max="10" width="32.85546875" customWidth="1"/>
    <col min="11" max="16" width="8.7109375" customWidth="1"/>
    <col min="17" max="17" width="10.140625" customWidth="1"/>
    <col min="18" max="18" width="9.140625" customWidth="1"/>
  </cols>
  <sheetData>
    <row r="1" spans="1:18">
      <c r="A1" s="356"/>
      <c r="B1" s="324"/>
      <c r="C1" s="324"/>
      <c r="D1" s="324"/>
      <c r="E1" s="324"/>
      <c r="F1" s="324"/>
      <c r="G1" s="162"/>
      <c r="H1" s="162"/>
      <c r="I1" s="162"/>
      <c r="J1" s="162"/>
      <c r="K1" s="162"/>
      <c r="L1" s="162"/>
      <c r="M1" s="162"/>
      <c r="N1" s="162"/>
      <c r="O1" s="162"/>
      <c r="P1" s="162"/>
      <c r="Q1" s="162"/>
      <c r="R1" s="162"/>
    </row>
    <row r="2" spans="1:18" ht="18.75">
      <c r="A2" s="369" t="s">
        <v>361</v>
      </c>
      <c r="B2" s="324"/>
      <c r="C2" s="324"/>
      <c r="D2" s="324"/>
      <c r="E2" s="324"/>
      <c r="F2" s="324"/>
      <c r="G2" s="324"/>
      <c r="H2" s="324"/>
      <c r="I2" s="163"/>
      <c r="J2" s="162"/>
      <c r="K2" s="162"/>
      <c r="L2" s="162"/>
      <c r="M2" s="162"/>
      <c r="N2" s="162"/>
      <c r="O2" s="162"/>
      <c r="P2" s="162"/>
      <c r="Q2" s="162"/>
      <c r="R2" s="162"/>
    </row>
    <row r="3" spans="1:18">
      <c r="A3" s="164"/>
      <c r="B3" s="165"/>
      <c r="C3" s="165"/>
      <c r="D3" s="165"/>
      <c r="E3" s="165"/>
      <c r="F3" s="165"/>
      <c r="G3" s="162"/>
      <c r="H3" s="162"/>
      <c r="I3" s="162"/>
      <c r="J3" s="162"/>
      <c r="K3" s="162"/>
      <c r="L3" s="162"/>
      <c r="M3" s="162"/>
      <c r="N3" s="162"/>
      <c r="O3" s="162"/>
      <c r="P3" s="162"/>
      <c r="Q3" s="162"/>
      <c r="R3" s="162"/>
    </row>
    <row r="4" spans="1:18">
      <c r="A4" s="166" t="s">
        <v>142</v>
      </c>
      <c r="B4" s="167" t="s">
        <v>145</v>
      </c>
      <c r="C4" s="167" t="s">
        <v>146</v>
      </c>
      <c r="D4" s="167" t="s">
        <v>147</v>
      </c>
      <c r="E4" s="167" t="s">
        <v>148</v>
      </c>
      <c r="F4" s="167" t="s">
        <v>149</v>
      </c>
      <c r="G4" s="77" t="s">
        <v>150</v>
      </c>
      <c r="H4" s="77" t="s">
        <v>151</v>
      </c>
      <c r="I4" s="162"/>
      <c r="J4" s="162"/>
      <c r="K4" s="162"/>
      <c r="L4" s="162"/>
      <c r="M4" s="162"/>
      <c r="N4" s="162"/>
      <c r="O4" s="162"/>
      <c r="P4" s="162"/>
      <c r="Q4" s="162"/>
      <c r="R4" s="162"/>
    </row>
    <row r="5" spans="1:18">
      <c r="A5" s="168"/>
      <c r="B5" s="169"/>
      <c r="C5" s="170"/>
      <c r="D5" s="170"/>
      <c r="E5" s="170"/>
      <c r="F5" s="170"/>
      <c r="G5" s="170"/>
      <c r="H5" s="170"/>
      <c r="I5" s="162"/>
      <c r="J5" s="162"/>
      <c r="K5" s="162"/>
      <c r="L5" s="162"/>
      <c r="M5" s="162"/>
      <c r="N5" s="162"/>
      <c r="O5" s="162"/>
      <c r="P5" s="162"/>
      <c r="Q5" s="162"/>
      <c r="R5" s="162"/>
    </row>
    <row r="6" spans="1:18">
      <c r="A6" s="171" t="s">
        <v>362</v>
      </c>
      <c r="B6" s="172"/>
      <c r="C6" s="172"/>
      <c r="D6" s="172"/>
      <c r="E6" s="172"/>
      <c r="F6" s="172"/>
      <c r="G6" s="172"/>
      <c r="H6" s="172"/>
      <c r="I6" s="162"/>
      <c r="J6" s="162"/>
      <c r="K6" s="162"/>
      <c r="L6" s="162"/>
      <c r="M6" s="162"/>
      <c r="N6" s="162"/>
      <c r="O6" s="162"/>
      <c r="P6" s="162"/>
      <c r="Q6" s="162"/>
      <c r="R6" s="162"/>
    </row>
    <row r="7" spans="1:18">
      <c r="A7" s="173" t="s">
        <v>363</v>
      </c>
      <c r="B7" s="174"/>
      <c r="C7" s="174"/>
      <c r="D7" s="174"/>
      <c r="E7" s="174"/>
      <c r="F7" s="174"/>
      <c r="G7" s="174"/>
      <c r="H7" s="174"/>
      <c r="I7" s="162"/>
      <c r="J7" s="162"/>
      <c r="K7" s="162"/>
      <c r="L7" s="162"/>
      <c r="M7" s="162"/>
      <c r="N7" s="162"/>
      <c r="O7" s="162"/>
      <c r="P7" s="162"/>
      <c r="Q7" s="162"/>
      <c r="R7" s="162"/>
    </row>
    <row r="8" spans="1:18">
      <c r="A8" s="173" t="s">
        <v>364</v>
      </c>
      <c r="B8" s="175">
        <f>'8.Cash Flow '!C33</f>
        <v>1623654.0666440278</v>
      </c>
      <c r="C8" s="175">
        <f>'8.Cash Flow '!D33</f>
        <v>2355550.8123970479</v>
      </c>
      <c r="D8" s="175">
        <f>'8.Cash Flow '!E33</f>
        <v>3719929.5985947996</v>
      </c>
      <c r="E8" s="175">
        <f>'8.Cash Flow '!F33</f>
        <v>9770009.578514412</v>
      </c>
      <c r="F8" s="175">
        <f>'8.Cash Flow '!G33</f>
        <v>16587787.061039641</v>
      </c>
      <c r="G8" s="175">
        <f>'8.Cash Flow '!H33</f>
        <v>23940990.848426983</v>
      </c>
      <c r="H8" s="175">
        <f>'8.Cash Flow '!I33</f>
        <v>31861803.499533162</v>
      </c>
      <c r="I8" s="162"/>
      <c r="J8" s="162"/>
      <c r="K8" s="176"/>
      <c r="L8" s="176"/>
      <c r="M8" s="176"/>
      <c r="N8" s="176"/>
      <c r="O8" s="176"/>
      <c r="P8" s="176"/>
      <c r="Q8" s="176"/>
      <c r="R8" s="176"/>
    </row>
    <row r="9" spans="1:18">
      <c r="A9" s="177" t="s">
        <v>365</v>
      </c>
      <c r="B9" s="178"/>
      <c r="C9" s="178"/>
      <c r="D9" s="178"/>
      <c r="E9" s="178"/>
      <c r="F9" s="178"/>
      <c r="G9" s="178"/>
      <c r="H9" s="178"/>
      <c r="I9" s="162"/>
      <c r="J9" s="162"/>
      <c r="K9" s="176"/>
      <c r="L9" s="176"/>
      <c r="M9" s="176"/>
      <c r="N9" s="176"/>
      <c r="O9" s="176"/>
      <c r="P9" s="176"/>
      <c r="Q9" s="176"/>
      <c r="R9" s="176"/>
    </row>
    <row r="10" spans="1:18">
      <c r="A10" s="177" t="s">
        <v>366</v>
      </c>
      <c r="B10" s="178"/>
      <c r="C10" s="178"/>
      <c r="D10" s="178"/>
      <c r="E10" s="178"/>
      <c r="F10" s="178"/>
      <c r="G10" s="178"/>
      <c r="H10" s="178"/>
      <c r="I10" s="162"/>
      <c r="J10" s="162"/>
      <c r="K10" s="176"/>
      <c r="L10" s="176"/>
      <c r="M10" s="176"/>
      <c r="N10" s="176"/>
      <c r="O10" s="176"/>
      <c r="P10" s="176"/>
      <c r="Q10" s="176"/>
      <c r="R10" s="176"/>
    </row>
    <row r="11" spans="1:18">
      <c r="A11" s="173" t="s">
        <v>367</v>
      </c>
      <c r="B11" s="175">
        <f t="shared" ref="B11:H11" si="0">SUM(B8:B10)</f>
        <v>1623654.0666440278</v>
      </c>
      <c r="C11" s="175">
        <f t="shared" si="0"/>
        <v>2355550.8123970479</v>
      </c>
      <c r="D11" s="175">
        <f t="shared" si="0"/>
        <v>3719929.5985947996</v>
      </c>
      <c r="E11" s="175">
        <f t="shared" si="0"/>
        <v>9770009.578514412</v>
      </c>
      <c r="F11" s="175">
        <f t="shared" si="0"/>
        <v>16587787.061039641</v>
      </c>
      <c r="G11" s="175">
        <f t="shared" si="0"/>
        <v>23940990.848426983</v>
      </c>
      <c r="H11" s="175">
        <f t="shared" si="0"/>
        <v>31861803.499533162</v>
      </c>
      <c r="I11" s="162"/>
      <c r="J11" s="162"/>
      <c r="K11" s="162"/>
      <c r="L11" s="162"/>
      <c r="M11" s="162"/>
      <c r="N11" s="162"/>
      <c r="O11" s="162"/>
      <c r="P11" s="162"/>
      <c r="Q11" s="162"/>
      <c r="R11" s="162"/>
    </row>
    <row r="12" spans="1:18">
      <c r="A12" s="173"/>
      <c r="B12" s="178"/>
      <c r="C12" s="178"/>
      <c r="D12" s="178"/>
      <c r="E12" s="178"/>
      <c r="F12" s="178"/>
      <c r="G12" s="178"/>
      <c r="H12" s="178"/>
      <c r="I12" s="162"/>
      <c r="J12" s="176"/>
      <c r="K12" s="176"/>
      <c r="L12" s="176"/>
      <c r="M12" s="176"/>
      <c r="N12" s="176"/>
      <c r="O12" s="176"/>
      <c r="P12" s="176"/>
      <c r="Q12" s="176"/>
      <c r="R12" s="162"/>
    </row>
    <row r="13" spans="1:18">
      <c r="A13" s="177" t="s">
        <v>368</v>
      </c>
      <c r="B13" s="178">
        <f>'3.Other Exp &amp; Taxes'!C65</f>
        <v>23676480</v>
      </c>
      <c r="C13" s="178">
        <f>'3.Other Exp &amp; Taxes'!D65</f>
        <v>22625820.105999999</v>
      </c>
      <c r="D13" s="178">
        <f>'3.Other Exp &amp; Taxes'!E65</f>
        <v>21575160.212000001</v>
      </c>
      <c r="E13" s="178">
        <f>'3.Other Exp &amp; Taxes'!F65</f>
        <v>20524500.318000004</v>
      </c>
      <c r="F13" s="178">
        <f>'3.Other Exp &amp; Taxes'!G65</f>
        <v>19473840.424000002</v>
      </c>
      <c r="G13" s="178">
        <f>'3.Other Exp &amp; Taxes'!H65</f>
        <v>18423180.530000001</v>
      </c>
      <c r="H13" s="178">
        <f>'3.Other Exp &amp; Taxes'!I65</f>
        <v>17372520.636000004</v>
      </c>
      <c r="I13" s="162"/>
      <c r="J13" s="162"/>
      <c r="K13" s="162"/>
      <c r="L13" s="162"/>
      <c r="M13" s="162"/>
      <c r="N13" s="162"/>
      <c r="O13" s="162"/>
      <c r="P13" s="162"/>
      <c r="Q13" s="162"/>
      <c r="R13" s="162"/>
    </row>
    <row r="14" spans="1:18">
      <c r="A14" s="177" t="s">
        <v>369</v>
      </c>
      <c r="B14" s="178">
        <f>'3.Other Exp &amp; Taxes'!C66</f>
        <v>1050659.8939999999</v>
      </c>
      <c r="C14" s="178">
        <f>'3.Other Exp &amp; Taxes'!D66</f>
        <v>1050659.8939999999</v>
      </c>
      <c r="D14" s="178">
        <f>'3.Other Exp &amp; Taxes'!E66</f>
        <v>1050659.8939999999</v>
      </c>
      <c r="E14" s="178">
        <f>'3.Other Exp &amp; Taxes'!F66</f>
        <v>1050659.8939999999</v>
      </c>
      <c r="F14" s="178">
        <f>'3.Other Exp &amp; Taxes'!G66</f>
        <v>1050659.8939999999</v>
      </c>
      <c r="G14" s="178">
        <f>'3.Other Exp &amp; Taxes'!H66</f>
        <v>1050659.8939999999</v>
      </c>
      <c r="H14" s="178">
        <f>'3.Other Exp &amp; Taxes'!I66</f>
        <v>1050659.8939999999</v>
      </c>
      <c r="I14" s="162"/>
      <c r="J14" s="162"/>
      <c r="K14" s="176"/>
      <c r="L14" s="176"/>
      <c r="M14" s="176"/>
      <c r="N14" s="176"/>
      <c r="O14" s="176"/>
      <c r="P14" s="176"/>
      <c r="Q14" s="176"/>
      <c r="R14" s="162"/>
    </row>
    <row r="15" spans="1:18">
      <c r="A15" s="173" t="s">
        <v>173</v>
      </c>
      <c r="B15" s="175">
        <f t="shared" ref="B15:H15" si="1">B13-B14</f>
        <v>22625820.105999999</v>
      </c>
      <c r="C15" s="175">
        <f t="shared" si="1"/>
        <v>21575160.211999997</v>
      </c>
      <c r="D15" s="175">
        <f t="shared" si="1"/>
        <v>20524500.318</v>
      </c>
      <c r="E15" s="175">
        <f t="shared" si="1"/>
        <v>19473840.424000002</v>
      </c>
      <c r="F15" s="175">
        <f t="shared" si="1"/>
        <v>18423180.530000001</v>
      </c>
      <c r="G15" s="175">
        <f t="shared" si="1"/>
        <v>17372520.636</v>
      </c>
      <c r="H15" s="175">
        <f t="shared" si="1"/>
        <v>16321860.742000004</v>
      </c>
      <c r="I15" s="165"/>
      <c r="J15" s="165"/>
      <c r="K15" s="165"/>
      <c r="L15" s="165"/>
      <c r="M15" s="165"/>
      <c r="N15" s="165"/>
      <c r="O15" s="165"/>
      <c r="P15" s="165"/>
      <c r="Q15" s="165"/>
      <c r="R15" s="165"/>
    </row>
    <row r="16" spans="1:18">
      <c r="A16" s="173"/>
      <c r="B16" s="175"/>
      <c r="C16" s="175"/>
      <c r="D16" s="175"/>
      <c r="E16" s="175"/>
      <c r="F16" s="175"/>
      <c r="G16" s="175"/>
      <c r="H16" s="175"/>
      <c r="I16" s="165"/>
      <c r="J16" s="165"/>
      <c r="K16" s="165"/>
      <c r="L16" s="165"/>
      <c r="M16" s="165"/>
      <c r="N16" s="165"/>
      <c r="O16" s="165"/>
      <c r="P16" s="165"/>
      <c r="Q16" s="165"/>
      <c r="R16" s="165"/>
    </row>
    <row r="17" spans="1:18">
      <c r="A17" s="179"/>
      <c r="B17" s="175"/>
      <c r="C17" s="175"/>
      <c r="D17" s="175"/>
      <c r="E17" s="175"/>
      <c r="F17" s="175"/>
      <c r="G17" s="175"/>
      <c r="H17" s="175"/>
      <c r="I17" s="165"/>
      <c r="J17" s="165"/>
      <c r="K17" s="165"/>
      <c r="L17" s="165"/>
      <c r="M17" s="165"/>
      <c r="N17" s="165"/>
      <c r="O17" s="165"/>
      <c r="P17" s="165"/>
      <c r="Q17" s="165"/>
      <c r="R17" s="165"/>
    </row>
    <row r="18" spans="1:18">
      <c r="A18" s="173" t="s">
        <v>370</v>
      </c>
      <c r="B18" s="175">
        <f>'8.Cash Flow '!C20-'6.Cons Profit &amp; Loss'!B43</f>
        <v>400000</v>
      </c>
      <c r="C18" s="175">
        <f>B18-'6.Cons Profit &amp; Loss'!C43</f>
        <v>300000</v>
      </c>
      <c r="D18" s="175">
        <f>C18-'6.Cons Profit &amp; Loss'!D43</f>
        <v>200000</v>
      </c>
      <c r="E18" s="175">
        <f>D18-'6.Cons Profit &amp; Loss'!E43</f>
        <v>100000</v>
      </c>
      <c r="F18" s="175">
        <f>E18-'6.Cons Profit &amp; Loss'!F43</f>
        <v>0</v>
      </c>
      <c r="G18" s="175">
        <f>F18-'6.Cons Profit &amp; Loss'!G43</f>
        <v>0</v>
      </c>
      <c r="H18" s="175">
        <f>G18-'6.Cons Profit &amp; Loss'!H43</f>
        <v>0</v>
      </c>
      <c r="I18" s="165"/>
      <c r="J18" s="165"/>
      <c r="K18" s="165"/>
      <c r="L18" s="165"/>
      <c r="M18" s="165"/>
      <c r="N18" s="165"/>
      <c r="O18" s="165"/>
      <c r="P18" s="165"/>
      <c r="Q18" s="165"/>
      <c r="R18" s="165"/>
    </row>
    <row r="19" spans="1:18">
      <c r="A19" s="177"/>
      <c r="B19" s="178"/>
      <c r="C19" s="178"/>
      <c r="D19" s="178"/>
      <c r="E19" s="178"/>
      <c r="F19" s="178"/>
      <c r="G19" s="178"/>
      <c r="H19" s="178"/>
      <c r="I19" s="162"/>
      <c r="J19" s="162"/>
      <c r="K19" s="162"/>
      <c r="L19" s="162"/>
      <c r="M19" s="162"/>
      <c r="N19" s="162"/>
      <c r="O19" s="162"/>
      <c r="P19" s="162"/>
      <c r="Q19" s="162"/>
      <c r="R19" s="162"/>
    </row>
    <row r="20" spans="1:18">
      <c r="A20" s="179" t="s">
        <v>371</v>
      </c>
      <c r="B20" s="175">
        <f t="shared" ref="B20:H20" si="2">B11+B15+B17+B18</f>
        <v>24649474.172644027</v>
      </c>
      <c r="C20" s="175">
        <f t="shared" si="2"/>
        <v>24230711.024397045</v>
      </c>
      <c r="D20" s="175">
        <f t="shared" si="2"/>
        <v>24444429.9165948</v>
      </c>
      <c r="E20" s="175">
        <f t="shared" si="2"/>
        <v>29343850.002514414</v>
      </c>
      <c r="F20" s="175">
        <f t="shared" si="2"/>
        <v>35010967.591039643</v>
      </c>
      <c r="G20" s="175">
        <f t="shared" si="2"/>
        <v>41313511.484426983</v>
      </c>
      <c r="H20" s="175">
        <f t="shared" si="2"/>
        <v>48183664.241533168</v>
      </c>
      <c r="I20" s="162"/>
      <c r="J20" s="162"/>
      <c r="K20" s="162"/>
      <c r="L20" s="162"/>
      <c r="M20" s="162"/>
      <c r="N20" s="162"/>
      <c r="O20" s="162"/>
      <c r="P20" s="162"/>
      <c r="Q20" s="162"/>
      <c r="R20" s="162"/>
    </row>
    <row r="21" spans="1:18" ht="15.75" customHeight="1">
      <c r="A21" s="168"/>
      <c r="B21" s="178"/>
      <c r="C21" s="178"/>
      <c r="D21" s="178"/>
      <c r="E21" s="178"/>
      <c r="F21" s="178"/>
      <c r="G21" s="178"/>
      <c r="H21" s="178"/>
      <c r="I21" s="162"/>
      <c r="J21" s="162"/>
      <c r="K21" s="162"/>
      <c r="L21" s="162"/>
      <c r="M21" s="162"/>
      <c r="N21" s="162"/>
      <c r="O21" s="162"/>
      <c r="P21" s="162"/>
      <c r="Q21" s="162"/>
      <c r="R21" s="162"/>
    </row>
    <row r="22" spans="1:18" ht="15.75" customHeight="1">
      <c r="A22" s="171" t="s">
        <v>372</v>
      </c>
      <c r="B22" s="180"/>
      <c r="C22" s="180"/>
      <c r="D22" s="180"/>
      <c r="E22" s="180"/>
      <c r="F22" s="180"/>
      <c r="G22" s="180"/>
      <c r="H22" s="180"/>
      <c r="I22" s="162"/>
      <c r="J22" s="162"/>
      <c r="K22" s="162"/>
      <c r="L22" s="162"/>
      <c r="M22" s="162"/>
      <c r="N22" s="162"/>
      <c r="O22" s="162"/>
      <c r="P22" s="162"/>
      <c r="Q22" s="162"/>
      <c r="R22" s="162"/>
    </row>
    <row r="23" spans="1:18" ht="15.75" customHeight="1">
      <c r="A23" s="173" t="s">
        <v>373</v>
      </c>
      <c r="B23" s="180"/>
      <c r="C23" s="180"/>
      <c r="D23" s="180"/>
      <c r="E23" s="180"/>
      <c r="F23" s="180"/>
      <c r="G23" s="180"/>
      <c r="H23" s="180"/>
      <c r="I23" s="162"/>
      <c r="J23" s="162"/>
      <c r="K23" s="162"/>
      <c r="L23" s="162"/>
      <c r="M23" s="162"/>
      <c r="N23" s="162"/>
      <c r="O23" s="162"/>
      <c r="P23" s="162"/>
      <c r="Q23" s="162"/>
      <c r="R23" s="162"/>
    </row>
    <row r="24" spans="1:18" ht="15.75" customHeight="1">
      <c r="A24" s="177" t="s">
        <v>374</v>
      </c>
      <c r="B24" s="175"/>
      <c r="C24" s="175"/>
      <c r="D24" s="175"/>
      <c r="E24" s="175"/>
      <c r="F24" s="175"/>
      <c r="G24" s="175"/>
      <c r="H24" s="175"/>
      <c r="I24" s="162"/>
      <c r="J24" s="162"/>
      <c r="K24" s="162"/>
      <c r="L24" s="162"/>
      <c r="M24" s="162"/>
      <c r="N24" s="162"/>
      <c r="O24" s="162"/>
      <c r="P24" s="162"/>
      <c r="Q24" s="162"/>
      <c r="R24" s="162"/>
    </row>
    <row r="25" spans="1:18" ht="15.75" customHeight="1">
      <c r="A25" s="177" t="s">
        <v>375</v>
      </c>
      <c r="B25" s="178"/>
      <c r="C25" s="178"/>
      <c r="D25" s="178"/>
      <c r="E25" s="178"/>
      <c r="F25" s="178"/>
      <c r="G25" s="178"/>
      <c r="H25" s="178"/>
      <c r="I25" s="162"/>
      <c r="J25" s="162"/>
      <c r="K25" s="162"/>
      <c r="L25" s="162"/>
      <c r="M25" s="162"/>
      <c r="N25" s="162"/>
      <c r="O25" s="162"/>
      <c r="P25" s="162"/>
      <c r="Q25" s="162"/>
      <c r="R25" s="162"/>
    </row>
    <row r="26" spans="1:18" ht="15.75" customHeight="1">
      <c r="A26" s="177" t="s">
        <v>376</v>
      </c>
      <c r="B26" s="175"/>
      <c r="C26" s="175"/>
      <c r="D26" s="175"/>
      <c r="E26" s="175"/>
      <c r="F26" s="175"/>
      <c r="G26" s="175"/>
      <c r="H26" s="175"/>
      <c r="I26" s="162"/>
      <c r="J26" s="162"/>
      <c r="K26" s="162"/>
      <c r="L26" s="162"/>
      <c r="M26" s="162"/>
      <c r="N26" s="162"/>
      <c r="O26" s="162"/>
      <c r="P26" s="162"/>
      <c r="Q26" s="162"/>
      <c r="R26" s="162"/>
    </row>
    <row r="27" spans="1:18" ht="15.75" customHeight="1">
      <c r="A27" s="173" t="s">
        <v>377</v>
      </c>
      <c r="B27" s="175">
        <f t="shared" ref="B27:H27" si="3">SUM(B24:B26)</f>
        <v>0</v>
      </c>
      <c r="C27" s="175">
        <f t="shared" si="3"/>
        <v>0</v>
      </c>
      <c r="D27" s="175">
        <f t="shared" si="3"/>
        <v>0</v>
      </c>
      <c r="E27" s="175">
        <f t="shared" si="3"/>
        <v>0</v>
      </c>
      <c r="F27" s="175">
        <f t="shared" si="3"/>
        <v>0</v>
      </c>
      <c r="G27" s="175">
        <f t="shared" si="3"/>
        <v>0</v>
      </c>
      <c r="H27" s="175">
        <f t="shared" si="3"/>
        <v>0</v>
      </c>
      <c r="I27" s="162"/>
      <c r="J27" s="162"/>
      <c r="K27" s="162"/>
      <c r="L27" s="162"/>
      <c r="M27" s="162"/>
      <c r="N27" s="162"/>
      <c r="O27" s="162"/>
      <c r="P27" s="162"/>
      <c r="Q27" s="162"/>
      <c r="R27" s="162"/>
    </row>
    <row r="28" spans="1:18" ht="15.75" customHeight="1">
      <c r="A28" s="173" t="s">
        <v>378</v>
      </c>
      <c r="B28" s="175">
        <f>'4.TL repayment sch'!G21</f>
        <v>7110393.0450068368</v>
      </c>
      <c r="C28" s="175">
        <f>'4.TL repayment sch'!G33</f>
        <v>3767196.9925484825</v>
      </c>
      <c r="D28" s="175">
        <f>'4.TL repayment sch'!G45</f>
        <v>1.4260876923799515E-8</v>
      </c>
      <c r="E28" s="175">
        <f>'4.TL repayment sch'!G57</f>
        <v>1.6069513069368704E-8</v>
      </c>
      <c r="F28" s="175">
        <f>'4.TL repayment sch'!G69</f>
        <v>1.8107529548597476E-8</v>
      </c>
      <c r="G28" s="175">
        <f>'4.TL repayment sch'!G81</f>
        <v>2.0404017529213884E-8</v>
      </c>
      <c r="H28" s="175">
        <f>'[1]Term Loan'!J72+'[1]Term Loan'!S72</f>
        <v>0</v>
      </c>
      <c r="I28" s="162"/>
      <c r="J28" s="162"/>
      <c r="K28" s="162"/>
      <c r="L28" s="162"/>
      <c r="M28" s="162"/>
      <c r="N28" s="162"/>
      <c r="O28" s="162"/>
      <c r="P28" s="162"/>
      <c r="Q28" s="162"/>
      <c r="R28" s="162"/>
    </row>
    <row r="29" spans="1:18" ht="15.75" customHeight="1">
      <c r="A29" s="173" t="s">
        <v>379</v>
      </c>
      <c r="B29" s="175"/>
      <c r="C29" s="175"/>
      <c r="D29" s="175"/>
      <c r="E29" s="175"/>
      <c r="F29" s="175"/>
      <c r="G29" s="175"/>
      <c r="H29" s="175"/>
      <c r="I29" s="162"/>
      <c r="J29" s="162"/>
      <c r="K29" s="162"/>
      <c r="L29" s="162"/>
      <c r="M29" s="162"/>
      <c r="N29" s="162"/>
      <c r="O29" s="162"/>
      <c r="P29" s="162"/>
      <c r="Q29" s="162"/>
      <c r="R29" s="162"/>
    </row>
    <row r="30" spans="1:18" ht="15.75" customHeight="1">
      <c r="A30" s="173"/>
      <c r="B30" s="181"/>
      <c r="C30" s="181"/>
      <c r="D30" s="181"/>
      <c r="E30" s="181"/>
      <c r="F30" s="181"/>
      <c r="G30" s="181"/>
      <c r="H30" s="181"/>
      <c r="I30" s="162"/>
      <c r="J30" s="162"/>
      <c r="K30" s="162"/>
      <c r="L30" s="162"/>
      <c r="M30" s="162"/>
      <c r="N30" s="162"/>
      <c r="O30" s="162"/>
      <c r="P30" s="162"/>
      <c r="Q30" s="162"/>
      <c r="R30" s="162"/>
    </row>
    <row r="31" spans="1:18" ht="15.75" customHeight="1">
      <c r="A31" s="179" t="s">
        <v>380</v>
      </c>
      <c r="B31" s="175">
        <f t="shared" ref="B31:H31" si="4">SUM(B27:B29)</f>
        <v>7110393.0450068368</v>
      </c>
      <c r="C31" s="175">
        <f t="shared" si="4"/>
        <v>3767196.9925484825</v>
      </c>
      <c r="D31" s="175">
        <f t="shared" si="4"/>
        <v>1.4260876923799515E-8</v>
      </c>
      <c r="E31" s="175">
        <f t="shared" si="4"/>
        <v>1.6069513069368704E-8</v>
      </c>
      <c r="F31" s="175">
        <f t="shared" si="4"/>
        <v>1.8107529548597476E-8</v>
      </c>
      <c r="G31" s="175">
        <f t="shared" si="4"/>
        <v>2.0404017529213884E-8</v>
      </c>
      <c r="H31" s="175">
        <f t="shared" si="4"/>
        <v>0</v>
      </c>
      <c r="I31" s="162"/>
      <c r="J31" s="162"/>
      <c r="K31" s="162"/>
      <c r="L31" s="162"/>
      <c r="M31" s="162"/>
      <c r="N31" s="162"/>
      <c r="O31" s="162"/>
      <c r="P31" s="162"/>
      <c r="Q31" s="162"/>
      <c r="R31" s="162"/>
    </row>
    <row r="32" spans="1:18" ht="15.75" customHeight="1">
      <c r="A32" s="168"/>
      <c r="B32" s="178"/>
      <c r="C32" s="178"/>
      <c r="D32" s="178"/>
      <c r="E32" s="178"/>
      <c r="F32" s="178"/>
      <c r="G32" s="178"/>
      <c r="H32" s="178"/>
      <c r="I32" s="162"/>
      <c r="J32" s="162"/>
      <c r="K32" s="162"/>
      <c r="L32" s="162"/>
      <c r="M32" s="162"/>
      <c r="N32" s="162"/>
      <c r="O32" s="162"/>
      <c r="P32" s="162"/>
      <c r="Q32" s="162"/>
      <c r="R32" s="162"/>
    </row>
    <row r="33" spans="1:18" ht="15.75" customHeight="1">
      <c r="A33" s="177" t="s">
        <v>381</v>
      </c>
      <c r="B33" s="178">
        <f>'1.Project Cost and MOF'!E21</f>
        <v>1220000</v>
      </c>
      <c r="C33" s="178">
        <f t="shared" ref="C33:H33" si="5">B33</f>
        <v>1220000</v>
      </c>
      <c r="D33" s="178">
        <f t="shared" si="5"/>
        <v>1220000</v>
      </c>
      <c r="E33" s="178">
        <f t="shared" si="5"/>
        <v>1220000</v>
      </c>
      <c r="F33" s="178">
        <f t="shared" si="5"/>
        <v>1220000</v>
      </c>
      <c r="G33" s="178">
        <f t="shared" si="5"/>
        <v>1220000</v>
      </c>
      <c r="H33" s="178">
        <f t="shared" si="5"/>
        <v>1220000</v>
      </c>
      <c r="I33" s="162"/>
      <c r="J33" s="162"/>
      <c r="K33" s="162"/>
      <c r="L33" s="162"/>
      <c r="M33" s="162"/>
      <c r="N33" s="162"/>
      <c r="O33" s="162"/>
      <c r="P33" s="162"/>
      <c r="Q33" s="162"/>
      <c r="R33" s="162"/>
    </row>
    <row r="34" spans="1:18" ht="15.75" customHeight="1">
      <c r="A34" s="177" t="s">
        <v>382</v>
      </c>
      <c r="B34" s="178">
        <f>'1.Project Cost and MOF'!E19</f>
        <v>14505888</v>
      </c>
      <c r="C34" s="178">
        <f t="shared" ref="C34:H34" si="6">B34</f>
        <v>14505888</v>
      </c>
      <c r="D34" s="178">
        <f t="shared" si="6"/>
        <v>14505888</v>
      </c>
      <c r="E34" s="178">
        <f t="shared" si="6"/>
        <v>14505888</v>
      </c>
      <c r="F34" s="178">
        <f t="shared" si="6"/>
        <v>14505888</v>
      </c>
      <c r="G34" s="178">
        <f t="shared" si="6"/>
        <v>14505888</v>
      </c>
      <c r="H34" s="178">
        <f t="shared" si="6"/>
        <v>14505888</v>
      </c>
      <c r="I34" s="162"/>
      <c r="J34" s="162"/>
      <c r="K34" s="162"/>
      <c r="L34" s="162"/>
      <c r="M34" s="162"/>
      <c r="N34" s="162"/>
      <c r="O34" s="162"/>
      <c r="P34" s="162"/>
      <c r="Q34" s="162"/>
      <c r="R34" s="162"/>
    </row>
    <row r="35" spans="1:18" ht="15.75" customHeight="1">
      <c r="A35" s="173" t="s">
        <v>383</v>
      </c>
      <c r="B35" s="178"/>
      <c r="C35" s="178"/>
      <c r="D35" s="178"/>
      <c r="E35" s="178"/>
      <c r="F35" s="178"/>
      <c r="G35" s="178"/>
      <c r="H35" s="178"/>
      <c r="I35" s="162"/>
      <c r="J35" s="162"/>
      <c r="K35" s="162"/>
      <c r="L35" s="162"/>
      <c r="M35" s="162"/>
      <c r="N35" s="162"/>
      <c r="O35" s="162"/>
      <c r="P35" s="162"/>
      <c r="Q35" s="162"/>
      <c r="R35" s="162"/>
    </row>
    <row r="36" spans="1:18" ht="15.75" customHeight="1">
      <c r="A36" s="177" t="s">
        <v>384</v>
      </c>
      <c r="B36" s="178">
        <v>0</v>
      </c>
      <c r="C36" s="178">
        <f t="shared" ref="C36:H36" si="7">B39</f>
        <v>1813193.1276371779</v>
      </c>
      <c r="D36" s="178">
        <f t="shared" si="7"/>
        <v>4737626.031848562</v>
      </c>
      <c r="E36" s="178">
        <f t="shared" si="7"/>
        <v>8718541.9165947754</v>
      </c>
      <c r="F36" s="178">
        <f t="shared" si="7"/>
        <v>13617962.002514385</v>
      </c>
      <c r="G36" s="178">
        <f t="shared" si="7"/>
        <v>19285079.591039635</v>
      </c>
      <c r="H36" s="178">
        <f t="shared" si="7"/>
        <v>25587623.484426983</v>
      </c>
      <c r="I36" s="162"/>
      <c r="J36" s="162"/>
      <c r="K36" s="162"/>
      <c r="L36" s="162"/>
      <c r="M36" s="162"/>
      <c r="N36" s="162"/>
      <c r="O36" s="162"/>
      <c r="P36" s="162"/>
      <c r="Q36" s="162"/>
      <c r="R36" s="162"/>
    </row>
    <row r="37" spans="1:18" ht="15.75" customHeight="1">
      <c r="A37" s="177" t="s">
        <v>385</v>
      </c>
      <c r="B37" s="178">
        <f>'6.Cons Profit &amp; Loss'!B53</f>
        <v>1813193.1276371779</v>
      </c>
      <c r="C37" s="178">
        <f>'6.Cons Profit &amp; Loss'!C51</f>
        <v>2924432.9042113838</v>
      </c>
      <c r="D37" s="178">
        <f>'6.Cons Profit &amp; Loss'!D51</f>
        <v>3980915.884746213</v>
      </c>
      <c r="E37" s="178">
        <f>'6.Cons Profit &amp; Loss'!E51</f>
        <v>4899420.0859196084</v>
      </c>
      <c r="F37" s="178">
        <f>'6.Cons Profit &amp; Loss'!F51</f>
        <v>5667117.5885252487</v>
      </c>
      <c r="G37" s="178">
        <f>'6.Cons Profit &amp; Loss'!G51</f>
        <v>6302543.8933873475</v>
      </c>
      <c r="H37" s="178">
        <f>'6.Cons Profit &amp; Loss'!H51</f>
        <v>6870152.7571061924</v>
      </c>
      <c r="I37" s="162"/>
      <c r="J37" s="162"/>
      <c r="K37" s="162"/>
      <c r="L37" s="162"/>
      <c r="M37" s="162"/>
      <c r="N37" s="162"/>
      <c r="O37" s="162"/>
      <c r="P37" s="162"/>
      <c r="Q37" s="162"/>
      <c r="R37" s="162"/>
    </row>
    <row r="38" spans="1:18" ht="15.75" customHeight="1">
      <c r="A38" s="177" t="s">
        <v>386</v>
      </c>
      <c r="B38" s="178"/>
      <c r="C38" s="178"/>
      <c r="D38" s="178"/>
      <c r="E38" s="178"/>
      <c r="F38" s="178"/>
      <c r="G38" s="178"/>
      <c r="H38" s="178"/>
      <c r="I38" s="162"/>
      <c r="J38" s="162"/>
      <c r="K38" s="162"/>
      <c r="L38" s="162"/>
      <c r="M38" s="162"/>
      <c r="N38" s="162"/>
      <c r="O38" s="162"/>
      <c r="P38" s="162"/>
      <c r="Q38" s="162"/>
      <c r="R38" s="162"/>
    </row>
    <row r="39" spans="1:18" ht="15.75" customHeight="1">
      <c r="A39" s="177" t="s">
        <v>387</v>
      </c>
      <c r="B39" s="178">
        <f t="shared" ref="B39:H39" si="8">B36+B37-B38</f>
        <v>1813193.1276371779</v>
      </c>
      <c r="C39" s="178">
        <f t="shared" si="8"/>
        <v>4737626.031848562</v>
      </c>
      <c r="D39" s="178">
        <f t="shared" si="8"/>
        <v>8718541.9165947754</v>
      </c>
      <c r="E39" s="178">
        <f t="shared" si="8"/>
        <v>13617962.002514385</v>
      </c>
      <c r="F39" s="178">
        <f t="shared" si="8"/>
        <v>19285079.591039635</v>
      </c>
      <c r="G39" s="178">
        <f t="shared" si="8"/>
        <v>25587623.484426983</v>
      </c>
      <c r="H39" s="178">
        <f t="shared" si="8"/>
        <v>32457776.241533175</v>
      </c>
      <c r="I39" s="162"/>
      <c r="J39" s="162"/>
      <c r="K39" s="162"/>
      <c r="L39" s="162"/>
      <c r="M39" s="162"/>
      <c r="N39" s="162"/>
      <c r="O39" s="162"/>
      <c r="P39" s="162"/>
      <c r="Q39" s="162"/>
      <c r="R39" s="162"/>
    </row>
    <row r="40" spans="1:18" ht="15.75" customHeight="1">
      <c r="A40" s="177"/>
      <c r="B40" s="180"/>
      <c r="C40" s="180"/>
      <c r="D40" s="180"/>
      <c r="E40" s="180"/>
      <c r="F40" s="180"/>
      <c r="G40" s="180"/>
      <c r="H40" s="180"/>
      <c r="I40" s="162"/>
      <c r="J40" s="162"/>
      <c r="K40" s="162"/>
      <c r="L40" s="162"/>
      <c r="M40" s="162"/>
      <c r="N40" s="162"/>
      <c r="O40" s="162"/>
      <c r="P40" s="162"/>
      <c r="Q40" s="162"/>
      <c r="R40" s="162"/>
    </row>
    <row r="41" spans="1:18" ht="15.75" customHeight="1">
      <c r="A41" s="182" t="s">
        <v>388</v>
      </c>
      <c r="B41" s="183">
        <f t="shared" ref="B41:H41" si="9">B33+B39+B34</f>
        <v>17539081.127637178</v>
      </c>
      <c r="C41" s="183">
        <f t="shared" si="9"/>
        <v>20463514.031848561</v>
      </c>
      <c r="D41" s="183">
        <f t="shared" si="9"/>
        <v>24444429.916594774</v>
      </c>
      <c r="E41" s="183">
        <f t="shared" si="9"/>
        <v>29343850.002514385</v>
      </c>
      <c r="F41" s="183">
        <f t="shared" si="9"/>
        <v>35010967.591039635</v>
      </c>
      <c r="G41" s="183">
        <f t="shared" si="9"/>
        <v>41313511.484426983</v>
      </c>
      <c r="H41" s="183">
        <f t="shared" si="9"/>
        <v>48183664.241533175</v>
      </c>
      <c r="I41" s="162"/>
      <c r="J41" s="162"/>
      <c r="K41" s="162"/>
      <c r="L41" s="162"/>
      <c r="M41" s="162"/>
      <c r="N41" s="162"/>
      <c r="O41" s="162"/>
      <c r="P41" s="162"/>
      <c r="Q41" s="162"/>
      <c r="R41" s="162"/>
    </row>
    <row r="42" spans="1:18" ht="15.75" customHeight="1">
      <c r="A42" s="168"/>
      <c r="B42" s="178"/>
      <c r="C42" s="178"/>
      <c r="D42" s="178"/>
      <c r="E42" s="178"/>
      <c r="F42" s="178"/>
      <c r="G42" s="178"/>
      <c r="H42" s="178"/>
      <c r="I42" s="162"/>
      <c r="J42" s="162"/>
      <c r="K42" s="162"/>
      <c r="L42" s="162"/>
      <c r="M42" s="162"/>
      <c r="N42" s="162"/>
      <c r="O42" s="162"/>
      <c r="P42" s="162"/>
      <c r="Q42" s="162"/>
      <c r="R42" s="162"/>
    </row>
    <row r="43" spans="1:18" ht="15.75" customHeight="1">
      <c r="A43" s="179" t="s">
        <v>389</v>
      </c>
      <c r="B43" s="175">
        <f t="shared" ref="B43:H43" si="10">B31+B41</f>
        <v>24649474.172644015</v>
      </c>
      <c r="C43" s="175">
        <f t="shared" si="10"/>
        <v>24230711.024397045</v>
      </c>
      <c r="D43" s="175">
        <f t="shared" si="10"/>
        <v>24444429.916594788</v>
      </c>
      <c r="E43" s="175">
        <f t="shared" si="10"/>
        <v>29343850.0025144</v>
      </c>
      <c r="F43" s="175">
        <f t="shared" si="10"/>
        <v>35010967.59103965</v>
      </c>
      <c r="G43" s="175">
        <f t="shared" si="10"/>
        <v>41313511.484427005</v>
      </c>
      <c r="H43" s="175">
        <f t="shared" si="10"/>
        <v>48183664.241533175</v>
      </c>
      <c r="I43" s="162"/>
      <c r="J43" s="162"/>
      <c r="K43" s="162"/>
      <c r="L43" s="162"/>
      <c r="M43" s="162"/>
      <c r="N43" s="162"/>
      <c r="O43" s="162"/>
      <c r="P43" s="162"/>
      <c r="Q43" s="162"/>
      <c r="R43" s="162"/>
    </row>
    <row r="44" spans="1:18" ht="15.75" customHeight="1">
      <c r="A44" s="168"/>
      <c r="B44" s="172"/>
      <c r="C44" s="172"/>
      <c r="D44" s="172"/>
      <c r="E44" s="172"/>
      <c r="F44" s="172"/>
      <c r="G44" s="172"/>
      <c r="H44" s="172"/>
      <c r="I44" s="162"/>
      <c r="J44" s="162"/>
      <c r="K44" s="162"/>
      <c r="L44" s="162"/>
      <c r="M44" s="162"/>
      <c r="N44" s="162"/>
      <c r="O44" s="162"/>
      <c r="P44" s="162"/>
      <c r="Q44" s="162"/>
      <c r="R44" s="162"/>
    </row>
    <row r="45" spans="1:18" ht="15.75" customHeight="1">
      <c r="A45" s="184" t="s">
        <v>390</v>
      </c>
      <c r="B45" s="185"/>
      <c r="C45" s="185"/>
      <c r="D45" s="185"/>
      <c r="E45" s="185"/>
      <c r="F45" s="185"/>
      <c r="G45" s="185"/>
      <c r="H45" s="185"/>
      <c r="I45" s="162"/>
      <c r="J45" s="162"/>
      <c r="K45" s="162"/>
      <c r="L45" s="162"/>
      <c r="M45" s="162"/>
      <c r="N45" s="162"/>
      <c r="O45" s="162"/>
      <c r="P45" s="162"/>
      <c r="Q45" s="162"/>
      <c r="R45" s="162"/>
    </row>
    <row r="46" spans="1:18" ht="15.75" customHeight="1">
      <c r="A46" s="186" t="s">
        <v>391</v>
      </c>
      <c r="B46" s="187">
        <f t="shared" ref="B46:G46" si="11">B43-B20</f>
        <v>0</v>
      </c>
      <c r="C46" s="187">
        <f t="shared" si="11"/>
        <v>0</v>
      </c>
      <c r="D46" s="187">
        <f t="shared" si="11"/>
        <v>0</v>
      </c>
      <c r="E46" s="187">
        <f t="shared" si="11"/>
        <v>0</v>
      </c>
      <c r="F46" s="187">
        <f t="shared" si="11"/>
        <v>0</v>
      </c>
      <c r="G46" s="187">
        <f t="shared" si="11"/>
        <v>0</v>
      </c>
      <c r="H46" s="187">
        <f>H43-H20</f>
        <v>0</v>
      </c>
      <c r="I46" s="162"/>
      <c r="J46" s="162"/>
      <c r="K46" s="162"/>
      <c r="L46" s="162"/>
      <c r="M46" s="162"/>
      <c r="N46" s="162"/>
      <c r="O46" s="162"/>
      <c r="P46" s="162"/>
      <c r="Q46" s="162"/>
      <c r="R46" s="162"/>
    </row>
    <row r="47" spans="1:18" ht="15.75" customHeight="1">
      <c r="A47" s="186"/>
      <c r="B47" s="187"/>
      <c r="C47" s="187"/>
      <c r="D47" s="187"/>
      <c r="E47" s="187"/>
      <c r="F47" s="187"/>
      <c r="G47" s="187"/>
      <c r="H47" s="187"/>
      <c r="I47" s="162"/>
      <c r="J47" s="162"/>
      <c r="K47" s="162"/>
      <c r="L47" s="162"/>
      <c r="M47" s="162"/>
      <c r="N47" s="162"/>
      <c r="O47" s="162"/>
      <c r="P47" s="162"/>
      <c r="Q47" s="162"/>
      <c r="R47" s="162"/>
    </row>
    <row r="48" spans="1:18" ht="15.75" customHeight="1">
      <c r="A48" s="188"/>
      <c r="B48" s="189"/>
      <c r="C48" s="189"/>
      <c r="D48" s="189"/>
      <c r="E48" s="189"/>
      <c r="F48" s="189"/>
      <c r="G48" s="189"/>
      <c r="H48" s="189"/>
      <c r="I48" s="162"/>
      <c r="J48" s="162"/>
      <c r="K48" s="162"/>
      <c r="L48" s="162"/>
      <c r="M48" s="162"/>
      <c r="N48" s="162"/>
      <c r="O48" s="162"/>
      <c r="P48" s="162"/>
      <c r="Q48" s="162"/>
      <c r="R48" s="162"/>
    </row>
    <row r="49" spans="1:18" ht="15.75" customHeight="1">
      <c r="A49" s="162"/>
      <c r="B49" s="190"/>
      <c r="C49" s="190"/>
      <c r="D49" s="190"/>
      <c r="E49" s="190"/>
      <c r="F49" s="190"/>
      <c r="G49" s="190"/>
      <c r="H49" s="190"/>
      <c r="I49" s="162"/>
      <c r="J49" s="162"/>
      <c r="K49" s="162"/>
      <c r="L49" s="162"/>
      <c r="M49" s="162"/>
      <c r="N49" s="162"/>
      <c r="O49" s="162"/>
      <c r="P49" s="162"/>
      <c r="Q49" s="162"/>
      <c r="R49" s="162"/>
    </row>
    <row r="50" spans="1:18" ht="39" customHeight="1">
      <c r="A50" s="370" t="s">
        <v>392</v>
      </c>
      <c r="B50" s="370"/>
      <c r="C50" s="370"/>
      <c r="D50" s="370"/>
      <c r="E50" s="370"/>
      <c r="F50" s="370"/>
      <c r="G50" s="370"/>
      <c r="H50" s="370"/>
      <c r="J50" s="162"/>
      <c r="K50" s="162"/>
      <c r="L50" s="162"/>
      <c r="M50" s="162"/>
      <c r="N50" s="162"/>
      <c r="O50" s="162"/>
      <c r="P50" s="162"/>
      <c r="Q50" s="162"/>
      <c r="R50" s="162"/>
    </row>
    <row r="51" spans="1:18" ht="15.75" customHeight="1">
      <c r="A51" s="162"/>
      <c r="B51" s="162"/>
      <c r="C51" s="162"/>
      <c r="D51" s="162"/>
      <c r="E51" s="162"/>
      <c r="F51" s="162"/>
      <c r="G51" s="162"/>
      <c r="H51" s="162"/>
      <c r="I51" s="162"/>
      <c r="J51" s="162"/>
      <c r="K51" s="162"/>
      <c r="L51" s="162"/>
      <c r="M51" s="162"/>
      <c r="N51" s="162"/>
      <c r="O51" s="162"/>
      <c r="P51" s="162"/>
      <c r="Q51" s="162"/>
      <c r="R51" s="162"/>
    </row>
    <row r="52" spans="1:18" ht="15.75" customHeight="1">
      <c r="A52" s="162"/>
      <c r="B52" s="162"/>
      <c r="C52" s="162"/>
      <c r="D52" s="162"/>
      <c r="E52" s="162"/>
      <c r="F52" s="162"/>
      <c r="G52" s="162"/>
      <c r="H52" s="162"/>
      <c r="I52" s="162"/>
      <c r="J52" s="162"/>
      <c r="K52" s="162"/>
      <c r="L52" s="162"/>
      <c r="M52" s="162"/>
      <c r="N52" s="162"/>
      <c r="O52" s="162"/>
      <c r="P52" s="162"/>
      <c r="Q52" s="162"/>
      <c r="R52" s="162"/>
    </row>
    <row r="53" spans="1:18" ht="15.75" customHeight="1">
      <c r="A53" s="162"/>
      <c r="B53" s="162"/>
      <c r="C53" s="162"/>
      <c r="D53" s="162"/>
      <c r="E53" s="162"/>
      <c r="F53" s="162"/>
      <c r="G53" s="162"/>
      <c r="H53" s="162"/>
      <c r="I53" s="162"/>
      <c r="J53" s="162"/>
      <c r="K53" s="162"/>
      <c r="L53" s="162"/>
      <c r="M53" s="162"/>
      <c r="N53" s="162"/>
      <c r="O53" s="162"/>
      <c r="P53" s="162"/>
      <c r="Q53" s="162"/>
      <c r="R53" s="162"/>
    </row>
    <row r="54" spans="1:18" ht="15.75" customHeight="1">
      <c r="A54" s="162"/>
      <c r="B54" s="162"/>
      <c r="C54" s="162"/>
      <c r="D54" s="162"/>
      <c r="E54" s="162"/>
      <c r="F54" s="162"/>
      <c r="G54" s="162"/>
      <c r="H54" s="162"/>
      <c r="I54" s="162"/>
      <c r="J54" s="162"/>
      <c r="K54" s="162"/>
      <c r="L54" s="162"/>
      <c r="M54" s="162"/>
      <c r="N54" s="162"/>
      <c r="O54" s="162"/>
      <c r="P54" s="162"/>
      <c r="Q54" s="162"/>
      <c r="R54" s="162"/>
    </row>
    <row r="55" spans="1:18" ht="15.75" customHeight="1">
      <c r="A55" s="162"/>
      <c r="B55" s="162"/>
      <c r="C55" s="162"/>
      <c r="D55" s="162"/>
      <c r="E55" s="162"/>
      <c r="F55" s="162"/>
      <c r="G55" s="162"/>
      <c r="H55" s="162"/>
      <c r="I55" s="162"/>
      <c r="J55" s="162"/>
      <c r="K55" s="162"/>
      <c r="L55" s="162"/>
      <c r="M55" s="162"/>
      <c r="N55" s="162"/>
      <c r="O55" s="162"/>
      <c r="P55" s="162"/>
      <c r="Q55" s="162"/>
      <c r="R55" s="162"/>
    </row>
    <row r="56" spans="1:18" ht="15.75" customHeight="1">
      <c r="A56" s="162"/>
      <c r="B56" s="162"/>
      <c r="C56" s="162"/>
      <c r="D56" s="162"/>
      <c r="E56" s="162"/>
      <c r="F56" s="162"/>
      <c r="G56" s="162"/>
      <c r="H56" s="162"/>
      <c r="I56" s="162"/>
      <c r="J56" s="162"/>
      <c r="K56" s="162"/>
      <c r="L56" s="162"/>
      <c r="M56" s="162"/>
      <c r="N56" s="162"/>
      <c r="O56" s="162"/>
      <c r="P56" s="162"/>
      <c r="Q56" s="162"/>
      <c r="R56" s="162"/>
    </row>
    <row r="57" spans="1:18" ht="15.75" customHeight="1">
      <c r="A57" s="162"/>
      <c r="B57" s="162"/>
      <c r="C57" s="162"/>
      <c r="D57" s="162"/>
      <c r="E57" s="162"/>
      <c r="F57" s="162"/>
      <c r="G57" s="162"/>
      <c r="H57" s="162"/>
      <c r="I57" s="162"/>
      <c r="J57" s="162"/>
      <c r="K57" s="162"/>
      <c r="L57" s="162"/>
      <c r="M57" s="162"/>
      <c r="N57" s="162"/>
      <c r="O57" s="162"/>
      <c r="P57" s="162"/>
      <c r="Q57" s="162"/>
      <c r="R57" s="162"/>
    </row>
    <row r="58" spans="1:18" ht="15.75" customHeight="1">
      <c r="A58" s="162"/>
      <c r="B58" s="162"/>
      <c r="C58" s="162"/>
      <c r="D58" s="162"/>
      <c r="E58" s="162"/>
      <c r="F58" s="162"/>
      <c r="G58" s="162"/>
      <c r="H58" s="162"/>
      <c r="I58" s="162"/>
      <c r="J58" s="162"/>
      <c r="K58" s="162"/>
      <c r="L58" s="162"/>
      <c r="M58" s="162"/>
      <c r="N58" s="162"/>
      <c r="O58" s="162"/>
      <c r="P58" s="162"/>
      <c r="Q58" s="162"/>
      <c r="R58" s="162"/>
    </row>
    <row r="59" spans="1:18" ht="15.75" customHeight="1">
      <c r="A59" s="162"/>
      <c r="B59" s="162"/>
      <c r="C59" s="162"/>
      <c r="D59" s="162"/>
      <c r="E59" s="162"/>
      <c r="F59" s="162"/>
      <c r="G59" s="162"/>
      <c r="H59" s="162"/>
      <c r="I59" s="162"/>
      <c r="J59" s="162"/>
      <c r="K59" s="162"/>
      <c r="L59" s="162"/>
      <c r="M59" s="162"/>
      <c r="N59" s="162"/>
      <c r="O59" s="162"/>
      <c r="P59" s="162"/>
      <c r="Q59" s="162"/>
      <c r="R59" s="162"/>
    </row>
    <row r="60" spans="1:18" ht="15.75" customHeight="1">
      <c r="A60" s="162"/>
      <c r="B60" s="162"/>
      <c r="C60" s="162"/>
      <c r="D60" s="162"/>
      <c r="E60" s="162"/>
      <c r="F60" s="162"/>
      <c r="G60" s="162"/>
      <c r="H60" s="162"/>
      <c r="I60" s="162"/>
      <c r="J60" s="162"/>
      <c r="K60" s="162"/>
      <c r="L60" s="162"/>
      <c r="M60" s="162"/>
      <c r="N60" s="162"/>
      <c r="O60" s="162"/>
      <c r="P60" s="162"/>
      <c r="Q60" s="162"/>
      <c r="R60" s="162"/>
    </row>
    <row r="61" spans="1:18" ht="15.75" customHeight="1">
      <c r="A61" s="162"/>
      <c r="B61" s="162"/>
      <c r="C61" s="162"/>
      <c r="D61" s="162"/>
      <c r="E61" s="162"/>
      <c r="F61" s="162"/>
      <c r="G61" s="162"/>
      <c r="H61" s="162"/>
      <c r="I61" s="162"/>
      <c r="J61" s="162"/>
      <c r="K61" s="162"/>
      <c r="L61" s="162"/>
      <c r="M61" s="162"/>
      <c r="N61" s="162"/>
      <c r="O61" s="162"/>
      <c r="P61" s="162"/>
      <c r="Q61" s="162"/>
      <c r="R61" s="162"/>
    </row>
    <row r="62" spans="1:18" ht="15.75" customHeight="1">
      <c r="A62" s="162"/>
      <c r="B62" s="162"/>
      <c r="C62" s="162"/>
      <c r="D62" s="162"/>
      <c r="E62" s="162"/>
      <c r="F62" s="162"/>
      <c r="G62" s="162"/>
      <c r="H62" s="162"/>
      <c r="I62" s="162"/>
      <c r="J62" s="162"/>
      <c r="K62" s="162"/>
      <c r="L62" s="162"/>
      <c r="M62" s="162"/>
      <c r="N62" s="162"/>
      <c r="O62" s="162"/>
      <c r="P62" s="162"/>
      <c r="Q62" s="162"/>
      <c r="R62" s="162"/>
    </row>
    <row r="63" spans="1:18" ht="15.75" customHeight="1">
      <c r="A63" s="162"/>
      <c r="B63" s="162"/>
      <c r="C63" s="162"/>
      <c r="D63" s="162"/>
      <c r="E63" s="162"/>
      <c r="F63" s="162"/>
      <c r="G63" s="162"/>
      <c r="H63" s="162"/>
      <c r="I63" s="162"/>
      <c r="J63" s="162"/>
      <c r="K63" s="162"/>
      <c r="L63" s="162"/>
      <c r="M63" s="162"/>
      <c r="N63" s="162"/>
      <c r="O63" s="162"/>
      <c r="P63" s="162"/>
      <c r="Q63" s="162"/>
      <c r="R63" s="162"/>
    </row>
    <row r="64" spans="1:18" ht="15.75" customHeight="1">
      <c r="A64" s="162"/>
      <c r="B64" s="162"/>
      <c r="C64" s="162"/>
      <c r="D64" s="162"/>
      <c r="E64" s="162"/>
      <c r="F64" s="162"/>
      <c r="G64" s="162"/>
      <c r="H64" s="162"/>
      <c r="I64" s="162"/>
      <c r="J64" s="162"/>
      <c r="K64" s="162"/>
      <c r="L64" s="162"/>
      <c r="M64" s="162"/>
      <c r="N64" s="162"/>
      <c r="O64" s="162"/>
      <c r="P64" s="162"/>
      <c r="Q64" s="162"/>
      <c r="R64" s="162"/>
    </row>
    <row r="65" spans="1:18" ht="15.75" customHeight="1">
      <c r="A65" s="162"/>
      <c r="B65" s="162"/>
      <c r="C65" s="162"/>
      <c r="D65" s="162"/>
      <c r="E65" s="162"/>
      <c r="F65" s="162"/>
      <c r="G65" s="162"/>
      <c r="H65" s="162"/>
      <c r="I65" s="162"/>
      <c r="J65" s="162"/>
      <c r="K65" s="162"/>
      <c r="L65" s="162"/>
      <c r="M65" s="162"/>
      <c r="N65" s="162"/>
      <c r="O65" s="162"/>
      <c r="P65" s="162"/>
      <c r="Q65" s="162"/>
      <c r="R65" s="162"/>
    </row>
    <row r="66" spans="1:18" ht="15.75" customHeight="1">
      <c r="A66" s="162"/>
      <c r="B66" s="162"/>
      <c r="C66" s="162"/>
      <c r="D66" s="162"/>
      <c r="E66" s="162"/>
      <c r="F66" s="162"/>
      <c r="G66" s="162"/>
      <c r="H66" s="162"/>
      <c r="I66" s="162"/>
      <c r="J66" s="162"/>
      <c r="K66" s="162"/>
      <c r="L66" s="162"/>
      <c r="M66" s="162"/>
      <c r="N66" s="162"/>
      <c r="O66" s="162"/>
      <c r="P66" s="162"/>
      <c r="Q66" s="162"/>
      <c r="R66" s="162"/>
    </row>
    <row r="67" spans="1:18" ht="15.75" customHeight="1">
      <c r="A67" s="162"/>
      <c r="B67" s="162"/>
      <c r="C67" s="162"/>
      <c r="D67" s="162"/>
      <c r="E67" s="162"/>
      <c r="F67" s="162"/>
      <c r="G67" s="162"/>
      <c r="H67" s="162"/>
      <c r="I67" s="162"/>
      <c r="J67" s="162"/>
      <c r="K67" s="162"/>
      <c r="L67" s="162"/>
      <c r="M67" s="162"/>
      <c r="N67" s="162"/>
      <c r="O67" s="162"/>
      <c r="P67" s="162"/>
      <c r="Q67" s="162"/>
      <c r="R67" s="162"/>
    </row>
    <row r="68" spans="1:18" ht="15.75" customHeight="1">
      <c r="A68" s="162"/>
      <c r="B68" s="162"/>
      <c r="C68" s="162"/>
      <c r="D68" s="162"/>
      <c r="E68" s="162"/>
      <c r="F68" s="162"/>
      <c r="G68" s="162"/>
      <c r="H68" s="162"/>
      <c r="I68" s="162"/>
      <c r="J68" s="162"/>
      <c r="K68" s="162"/>
      <c r="L68" s="162"/>
      <c r="M68" s="162"/>
      <c r="N68" s="162"/>
      <c r="O68" s="162"/>
      <c r="P68" s="162"/>
      <c r="Q68" s="162"/>
      <c r="R68" s="162"/>
    </row>
    <row r="69" spans="1:18" ht="15.75" customHeight="1">
      <c r="A69" s="162"/>
      <c r="B69" s="162"/>
      <c r="C69" s="162"/>
      <c r="D69" s="162"/>
      <c r="E69" s="162"/>
      <c r="F69" s="162"/>
      <c r="G69" s="162"/>
      <c r="H69" s="162"/>
      <c r="I69" s="162"/>
      <c r="J69" s="162"/>
      <c r="K69" s="162"/>
      <c r="L69" s="162"/>
      <c r="M69" s="162"/>
      <c r="N69" s="162"/>
      <c r="O69" s="162"/>
      <c r="P69" s="162"/>
      <c r="Q69" s="162"/>
      <c r="R69" s="162"/>
    </row>
    <row r="70" spans="1:18" ht="15.75" customHeight="1">
      <c r="A70" s="162"/>
      <c r="B70" s="162"/>
      <c r="C70" s="162"/>
      <c r="D70" s="162"/>
      <c r="E70" s="162"/>
      <c r="F70" s="162"/>
      <c r="G70" s="162"/>
      <c r="H70" s="162"/>
      <c r="I70" s="162"/>
      <c r="J70" s="162"/>
      <c r="K70" s="162"/>
      <c r="L70" s="162"/>
      <c r="M70" s="162"/>
      <c r="N70" s="162"/>
      <c r="O70" s="162"/>
      <c r="P70" s="162"/>
      <c r="Q70" s="162"/>
      <c r="R70" s="162"/>
    </row>
    <row r="71" spans="1:18" ht="15.75" customHeight="1">
      <c r="A71" s="162"/>
      <c r="B71" s="162"/>
      <c r="C71" s="162"/>
      <c r="D71" s="162"/>
      <c r="E71" s="162"/>
      <c r="F71" s="162"/>
      <c r="G71" s="162"/>
      <c r="H71" s="162"/>
      <c r="I71" s="162"/>
      <c r="J71" s="162"/>
      <c r="K71" s="162"/>
      <c r="L71" s="162"/>
      <c r="M71" s="162"/>
      <c r="N71" s="162"/>
      <c r="O71" s="162"/>
      <c r="P71" s="162"/>
      <c r="Q71" s="162"/>
      <c r="R71" s="162"/>
    </row>
    <row r="72" spans="1:18" ht="15.75" customHeight="1">
      <c r="A72" s="162"/>
      <c r="B72" s="162"/>
      <c r="C72" s="162"/>
      <c r="D72" s="162"/>
      <c r="E72" s="162"/>
      <c r="F72" s="162"/>
      <c r="G72" s="162"/>
      <c r="H72" s="162"/>
      <c r="I72" s="162"/>
      <c r="J72" s="162"/>
      <c r="K72" s="162"/>
      <c r="L72" s="162"/>
      <c r="M72" s="162"/>
      <c r="N72" s="162"/>
      <c r="O72" s="162"/>
      <c r="P72" s="162"/>
      <c r="Q72" s="162"/>
      <c r="R72" s="162"/>
    </row>
    <row r="73" spans="1:18" ht="15.75" customHeight="1">
      <c r="A73" s="162"/>
      <c r="B73" s="162"/>
      <c r="C73" s="162"/>
      <c r="D73" s="162"/>
      <c r="E73" s="162"/>
      <c r="F73" s="162"/>
      <c r="G73" s="162"/>
      <c r="H73" s="162"/>
      <c r="I73" s="162"/>
      <c r="J73" s="162"/>
      <c r="K73" s="162"/>
      <c r="L73" s="162"/>
      <c r="M73" s="162"/>
      <c r="N73" s="162"/>
      <c r="O73" s="162"/>
      <c r="P73" s="162"/>
      <c r="Q73" s="162"/>
      <c r="R73" s="162"/>
    </row>
    <row r="74" spans="1:18" ht="15.75" customHeight="1">
      <c r="A74" s="162"/>
      <c r="B74" s="162"/>
      <c r="C74" s="162"/>
      <c r="D74" s="162"/>
      <c r="E74" s="162"/>
      <c r="F74" s="162"/>
      <c r="G74" s="162"/>
      <c r="H74" s="162"/>
      <c r="I74" s="162"/>
      <c r="J74" s="162"/>
      <c r="K74" s="162"/>
      <c r="L74" s="162"/>
      <c r="M74" s="162"/>
      <c r="N74" s="162"/>
      <c r="O74" s="162"/>
      <c r="P74" s="162"/>
      <c r="Q74" s="162"/>
      <c r="R74" s="162"/>
    </row>
    <row r="75" spans="1:18" ht="15.75" customHeight="1">
      <c r="A75" s="162"/>
      <c r="B75" s="162"/>
      <c r="C75" s="162"/>
      <c r="D75" s="162"/>
      <c r="E75" s="162"/>
      <c r="F75" s="162"/>
      <c r="G75" s="162"/>
      <c r="H75" s="162"/>
      <c r="I75" s="162"/>
      <c r="J75" s="162"/>
      <c r="K75" s="162"/>
      <c r="L75" s="162"/>
      <c r="M75" s="162"/>
      <c r="N75" s="162"/>
      <c r="O75" s="162"/>
      <c r="P75" s="162"/>
      <c r="Q75" s="162"/>
      <c r="R75" s="162"/>
    </row>
    <row r="76" spans="1:18" ht="15.75" customHeight="1">
      <c r="A76" s="162"/>
      <c r="B76" s="162"/>
      <c r="C76" s="162"/>
      <c r="D76" s="162"/>
      <c r="E76" s="162"/>
      <c r="F76" s="162"/>
      <c r="G76" s="162"/>
      <c r="H76" s="162"/>
      <c r="I76" s="162"/>
      <c r="J76" s="162"/>
      <c r="K76" s="162"/>
      <c r="L76" s="162"/>
      <c r="M76" s="162"/>
      <c r="N76" s="162"/>
      <c r="O76" s="162"/>
      <c r="P76" s="162"/>
      <c r="Q76" s="162"/>
      <c r="R76" s="162"/>
    </row>
    <row r="77" spans="1:18" ht="15.75" customHeight="1">
      <c r="A77" s="162"/>
      <c r="B77" s="162"/>
      <c r="C77" s="162"/>
      <c r="D77" s="162"/>
      <c r="E77" s="162"/>
      <c r="F77" s="162"/>
      <c r="G77" s="162"/>
      <c r="H77" s="162"/>
      <c r="I77" s="162"/>
      <c r="J77" s="162"/>
      <c r="K77" s="162"/>
      <c r="L77" s="162"/>
      <c r="M77" s="162"/>
      <c r="N77" s="162"/>
      <c r="O77" s="162"/>
      <c r="P77" s="162"/>
      <c r="Q77" s="162"/>
      <c r="R77" s="162"/>
    </row>
    <row r="78" spans="1:18" ht="15.75" customHeight="1">
      <c r="A78" s="162"/>
      <c r="B78" s="162"/>
      <c r="C78" s="162"/>
      <c r="D78" s="162"/>
      <c r="E78" s="162"/>
      <c r="F78" s="162"/>
      <c r="G78" s="162"/>
      <c r="H78" s="162"/>
      <c r="I78" s="162"/>
      <c r="J78" s="162"/>
      <c r="K78" s="162"/>
      <c r="L78" s="162"/>
      <c r="M78" s="162"/>
      <c r="N78" s="162"/>
      <c r="O78" s="162"/>
      <c r="P78" s="162"/>
      <c r="Q78" s="162"/>
      <c r="R78" s="162"/>
    </row>
    <row r="79" spans="1:18" ht="15.75" customHeight="1">
      <c r="A79" s="162"/>
      <c r="B79" s="162"/>
      <c r="C79" s="162"/>
      <c r="D79" s="162"/>
      <c r="E79" s="162"/>
      <c r="F79" s="162"/>
      <c r="G79" s="162"/>
      <c r="H79" s="162"/>
      <c r="I79" s="162"/>
      <c r="J79" s="162"/>
      <c r="K79" s="162"/>
      <c r="L79" s="162"/>
      <c r="M79" s="162"/>
      <c r="N79" s="162"/>
      <c r="O79" s="162"/>
      <c r="P79" s="162"/>
      <c r="Q79" s="162"/>
      <c r="R79" s="162"/>
    </row>
    <row r="80" spans="1:18" ht="15.75" customHeight="1">
      <c r="A80" s="162"/>
      <c r="B80" s="162"/>
      <c r="C80" s="162"/>
      <c r="D80" s="162"/>
      <c r="E80" s="162"/>
      <c r="F80" s="162"/>
      <c r="G80" s="162"/>
      <c r="H80" s="162"/>
      <c r="I80" s="162"/>
      <c r="J80" s="162"/>
      <c r="K80" s="162"/>
      <c r="L80" s="162"/>
      <c r="M80" s="162"/>
      <c r="N80" s="162"/>
      <c r="O80" s="162"/>
      <c r="P80" s="162"/>
      <c r="Q80" s="162"/>
      <c r="R80" s="162"/>
    </row>
    <row r="81" spans="1:18" ht="15.75" customHeight="1">
      <c r="A81" s="162"/>
      <c r="B81" s="162"/>
      <c r="C81" s="162"/>
      <c r="D81" s="162"/>
      <c r="E81" s="162"/>
      <c r="F81" s="162"/>
      <c r="G81" s="162"/>
      <c r="H81" s="162"/>
      <c r="I81" s="162"/>
      <c r="J81" s="162"/>
      <c r="K81" s="162"/>
      <c r="L81" s="162"/>
      <c r="M81" s="162"/>
      <c r="N81" s="162"/>
      <c r="O81" s="162"/>
      <c r="P81" s="162"/>
      <c r="Q81" s="162"/>
      <c r="R81" s="162"/>
    </row>
    <row r="82" spans="1:18" ht="15.75" customHeight="1">
      <c r="A82" s="162"/>
      <c r="B82" s="162"/>
      <c r="C82" s="162"/>
      <c r="D82" s="162"/>
      <c r="E82" s="162"/>
      <c r="F82" s="162"/>
      <c r="G82" s="162"/>
      <c r="H82" s="162"/>
      <c r="I82" s="162"/>
      <c r="J82" s="162"/>
      <c r="K82" s="162"/>
      <c r="L82" s="162"/>
      <c r="M82" s="162"/>
      <c r="N82" s="162"/>
      <c r="O82" s="162"/>
      <c r="P82" s="162"/>
      <c r="Q82" s="162"/>
      <c r="R82" s="162"/>
    </row>
    <row r="83" spans="1:18" ht="15.75" customHeight="1">
      <c r="A83" s="162"/>
      <c r="B83" s="162"/>
      <c r="C83" s="162"/>
      <c r="D83" s="162"/>
      <c r="E83" s="162"/>
      <c r="F83" s="162"/>
      <c r="G83" s="162"/>
      <c r="H83" s="162"/>
      <c r="I83" s="162"/>
      <c r="J83" s="162"/>
      <c r="K83" s="162"/>
      <c r="L83" s="162"/>
      <c r="M83" s="162"/>
      <c r="N83" s="162"/>
      <c r="O83" s="162"/>
      <c r="P83" s="162"/>
      <c r="Q83" s="162"/>
      <c r="R83" s="162"/>
    </row>
    <row r="84" spans="1:18" ht="15.75" customHeight="1">
      <c r="A84" s="162"/>
      <c r="B84" s="162"/>
      <c r="C84" s="162"/>
      <c r="D84" s="162"/>
      <c r="E84" s="162"/>
      <c r="F84" s="162"/>
      <c r="G84" s="162"/>
      <c r="H84" s="162"/>
      <c r="I84" s="162"/>
      <c r="J84" s="162"/>
      <c r="K84" s="162"/>
      <c r="L84" s="162"/>
      <c r="M84" s="162"/>
      <c r="N84" s="162"/>
      <c r="O84" s="162"/>
      <c r="P84" s="162"/>
      <c r="Q84" s="162"/>
      <c r="R84" s="162"/>
    </row>
    <row r="85" spans="1:18" ht="15.75" customHeight="1">
      <c r="A85" s="162"/>
      <c r="B85" s="162"/>
      <c r="C85" s="162"/>
      <c r="D85" s="162"/>
      <c r="E85" s="162"/>
      <c r="F85" s="162"/>
      <c r="G85" s="162"/>
      <c r="H85" s="162"/>
      <c r="I85" s="162"/>
      <c r="J85" s="162"/>
      <c r="K85" s="162"/>
      <c r="L85" s="162"/>
      <c r="M85" s="162"/>
      <c r="N85" s="162"/>
      <c r="O85" s="162"/>
      <c r="P85" s="162"/>
      <c r="Q85" s="162"/>
      <c r="R85" s="162"/>
    </row>
    <row r="86" spans="1:18" ht="15.75" customHeight="1">
      <c r="A86" s="162"/>
      <c r="B86" s="162"/>
      <c r="C86" s="162"/>
      <c r="D86" s="162"/>
      <c r="E86" s="162"/>
      <c r="F86" s="162"/>
      <c r="G86" s="162"/>
      <c r="H86" s="162"/>
      <c r="I86" s="162"/>
      <c r="J86" s="162"/>
      <c r="K86" s="162"/>
      <c r="L86" s="162"/>
      <c r="M86" s="162"/>
      <c r="N86" s="162"/>
      <c r="O86" s="162"/>
      <c r="P86" s="162"/>
      <c r="Q86" s="162"/>
      <c r="R86" s="162"/>
    </row>
    <row r="87" spans="1:18" ht="15.75" customHeight="1">
      <c r="A87" s="162"/>
      <c r="B87" s="162"/>
      <c r="C87" s="162"/>
      <c r="D87" s="162"/>
      <c r="E87" s="162"/>
      <c r="F87" s="162"/>
      <c r="G87" s="162"/>
      <c r="H87" s="162"/>
      <c r="I87" s="162"/>
      <c r="J87" s="162"/>
      <c r="K87" s="162"/>
      <c r="L87" s="162"/>
      <c r="M87" s="162"/>
      <c r="N87" s="162"/>
      <c r="O87" s="162"/>
      <c r="P87" s="162"/>
      <c r="Q87" s="162"/>
      <c r="R87" s="162"/>
    </row>
    <row r="88" spans="1:18" ht="15.75" customHeight="1">
      <c r="A88" s="162"/>
      <c r="B88" s="162"/>
      <c r="C88" s="162"/>
      <c r="D88" s="162"/>
      <c r="E88" s="162"/>
      <c r="F88" s="162"/>
      <c r="G88" s="162"/>
      <c r="H88" s="162"/>
      <c r="I88" s="162"/>
      <c r="J88" s="162"/>
      <c r="K88" s="162"/>
      <c r="L88" s="162"/>
      <c r="M88" s="162"/>
      <c r="N88" s="162"/>
      <c r="O88" s="162"/>
      <c r="P88" s="162"/>
      <c r="Q88" s="162"/>
      <c r="R88" s="162"/>
    </row>
    <row r="89" spans="1:18" ht="15.75" customHeight="1">
      <c r="A89" s="162"/>
      <c r="B89" s="162"/>
      <c r="C89" s="162"/>
      <c r="D89" s="162"/>
      <c r="E89" s="162"/>
      <c r="F89" s="162"/>
      <c r="G89" s="162"/>
      <c r="H89" s="162"/>
      <c r="I89" s="162"/>
      <c r="J89" s="162"/>
      <c r="K89" s="162"/>
      <c r="L89" s="162"/>
      <c r="M89" s="162"/>
      <c r="N89" s="162"/>
      <c r="O89" s="162"/>
      <c r="P89" s="162"/>
      <c r="Q89" s="162"/>
      <c r="R89" s="162"/>
    </row>
    <row r="90" spans="1:18" ht="15.75" customHeight="1">
      <c r="A90" s="162"/>
      <c r="B90" s="162"/>
      <c r="C90" s="162"/>
      <c r="D90" s="162"/>
      <c r="E90" s="162"/>
      <c r="F90" s="162"/>
      <c r="G90" s="162"/>
      <c r="H90" s="162"/>
      <c r="I90" s="162"/>
      <c r="J90" s="162"/>
      <c r="K90" s="162"/>
      <c r="L90" s="162"/>
      <c r="M90" s="162"/>
      <c r="N90" s="162"/>
      <c r="O90" s="162"/>
      <c r="P90" s="162"/>
      <c r="Q90" s="162"/>
      <c r="R90" s="162"/>
    </row>
    <row r="91" spans="1:18" ht="15.75" customHeight="1">
      <c r="A91" s="162"/>
      <c r="B91" s="162"/>
      <c r="C91" s="162"/>
      <c r="D91" s="162"/>
      <c r="E91" s="162"/>
      <c r="F91" s="162"/>
      <c r="G91" s="162"/>
      <c r="H91" s="162"/>
      <c r="I91" s="162"/>
      <c r="J91" s="162"/>
      <c r="K91" s="162"/>
      <c r="L91" s="162"/>
      <c r="M91" s="162"/>
      <c r="N91" s="162"/>
      <c r="O91" s="162"/>
      <c r="P91" s="162"/>
      <c r="Q91" s="162"/>
      <c r="R91" s="162"/>
    </row>
    <row r="92" spans="1:18" ht="15.75" customHeight="1">
      <c r="A92" s="162"/>
      <c r="B92" s="162"/>
      <c r="C92" s="162"/>
      <c r="D92" s="162"/>
      <c r="E92" s="162"/>
      <c r="F92" s="162"/>
      <c r="G92" s="162"/>
      <c r="H92" s="162"/>
      <c r="I92" s="162"/>
      <c r="J92" s="162"/>
      <c r="K92" s="162"/>
      <c r="L92" s="162"/>
      <c r="M92" s="162"/>
      <c r="N92" s="162"/>
      <c r="O92" s="162"/>
      <c r="P92" s="162"/>
      <c r="Q92" s="162"/>
      <c r="R92" s="162"/>
    </row>
    <row r="93" spans="1:18" ht="15.75" customHeight="1">
      <c r="A93" s="162"/>
      <c r="B93" s="162"/>
      <c r="C93" s="162"/>
      <c r="D93" s="162"/>
      <c r="E93" s="162"/>
      <c r="F93" s="162"/>
      <c r="G93" s="162"/>
      <c r="H93" s="162"/>
      <c r="I93" s="162"/>
      <c r="J93" s="162"/>
      <c r="K93" s="162"/>
      <c r="L93" s="162"/>
      <c r="M93" s="162"/>
      <c r="N93" s="162"/>
      <c r="O93" s="162"/>
      <c r="P93" s="162"/>
      <c r="Q93" s="162"/>
      <c r="R93" s="162"/>
    </row>
    <row r="94" spans="1:18" ht="15.75" customHeight="1">
      <c r="A94" s="162"/>
      <c r="B94" s="162"/>
      <c r="C94" s="162"/>
      <c r="D94" s="162"/>
      <c r="E94" s="162"/>
      <c r="F94" s="162"/>
      <c r="G94" s="162"/>
      <c r="H94" s="162"/>
      <c r="I94" s="162"/>
      <c r="J94" s="162"/>
      <c r="K94" s="162"/>
      <c r="L94" s="162"/>
      <c r="M94" s="162"/>
      <c r="N94" s="162"/>
      <c r="O94" s="162"/>
      <c r="P94" s="162"/>
      <c r="Q94" s="162"/>
      <c r="R94" s="162"/>
    </row>
    <row r="95" spans="1:18" ht="15.75" customHeight="1">
      <c r="A95" s="162"/>
      <c r="B95" s="162"/>
      <c r="C95" s="162"/>
      <c r="D95" s="162"/>
      <c r="E95" s="162"/>
      <c r="F95" s="162"/>
      <c r="G95" s="162"/>
      <c r="H95" s="162"/>
      <c r="I95" s="162"/>
      <c r="J95" s="162"/>
      <c r="K95" s="162"/>
      <c r="L95" s="162"/>
      <c r="M95" s="162"/>
      <c r="N95" s="162"/>
      <c r="O95" s="162"/>
      <c r="P95" s="162"/>
      <c r="Q95" s="162"/>
      <c r="R95" s="162"/>
    </row>
    <row r="96" spans="1:18" ht="15.75" customHeight="1">
      <c r="A96" s="162"/>
      <c r="B96" s="162"/>
      <c r="C96" s="162"/>
      <c r="D96" s="162"/>
      <c r="E96" s="162"/>
      <c r="F96" s="162"/>
      <c r="G96" s="162"/>
      <c r="H96" s="162"/>
      <c r="I96" s="162"/>
      <c r="J96" s="162"/>
      <c r="K96" s="162"/>
      <c r="L96" s="162"/>
      <c r="M96" s="162"/>
      <c r="N96" s="162"/>
      <c r="O96" s="162"/>
      <c r="P96" s="162"/>
      <c r="Q96" s="162"/>
      <c r="R96" s="162"/>
    </row>
    <row r="97" spans="1:18" ht="15.75" customHeight="1">
      <c r="A97" s="162"/>
      <c r="B97" s="162"/>
      <c r="C97" s="162"/>
      <c r="D97" s="162"/>
      <c r="E97" s="162"/>
      <c r="F97" s="162"/>
      <c r="G97" s="162"/>
      <c r="H97" s="162"/>
      <c r="I97" s="162"/>
      <c r="J97" s="162"/>
      <c r="K97" s="162"/>
      <c r="L97" s="162"/>
      <c r="M97" s="162"/>
      <c r="N97" s="162"/>
      <c r="O97" s="162"/>
      <c r="P97" s="162"/>
      <c r="Q97" s="162"/>
      <c r="R97" s="162"/>
    </row>
    <row r="98" spans="1:18" ht="15.75" customHeight="1">
      <c r="A98" s="162"/>
      <c r="B98" s="162"/>
      <c r="C98" s="162"/>
      <c r="D98" s="162"/>
      <c r="E98" s="162"/>
      <c r="F98" s="162"/>
      <c r="G98" s="162"/>
      <c r="H98" s="162"/>
      <c r="I98" s="162"/>
      <c r="J98" s="162"/>
      <c r="K98" s="162"/>
      <c r="L98" s="162"/>
      <c r="M98" s="162"/>
      <c r="N98" s="162"/>
      <c r="O98" s="162"/>
      <c r="P98" s="162"/>
      <c r="Q98" s="162"/>
      <c r="R98" s="162"/>
    </row>
    <row r="99" spans="1:18" ht="15.75" customHeight="1">
      <c r="A99" s="162"/>
      <c r="B99" s="162"/>
      <c r="C99" s="162"/>
      <c r="D99" s="162"/>
      <c r="E99" s="162"/>
      <c r="F99" s="162"/>
      <c r="G99" s="162"/>
      <c r="H99" s="162"/>
      <c r="I99" s="162"/>
      <c r="J99" s="162"/>
      <c r="K99" s="162"/>
      <c r="L99" s="162"/>
      <c r="M99" s="162"/>
      <c r="N99" s="162"/>
      <c r="O99" s="162"/>
      <c r="P99" s="162"/>
      <c r="Q99" s="162"/>
      <c r="R99" s="162"/>
    </row>
    <row r="100" spans="1:18" ht="15.75" customHeight="1">
      <c r="A100" s="162"/>
      <c r="B100" s="162"/>
      <c r="C100" s="162"/>
      <c r="D100" s="162"/>
      <c r="E100" s="162"/>
      <c r="F100" s="162"/>
      <c r="G100" s="162"/>
      <c r="H100" s="162"/>
      <c r="I100" s="162"/>
      <c r="J100" s="162"/>
      <c r="K100" s="162"/>
      <c r="L100" s="162"/>
      <c r="M100" s="162"/>
      <c r="N100" s="162"/>
      <c r="O100" s="162"/>
      <c r="P100" s="162"/>
      <c r="Q100" s="162"/>
      <c r="R100" s="162"/>
    </row>
  </sheetData>
  <mergeCells count="3">
    <mergeCell ref="A1:F1"/>
    <mergeCell ref="A2:H2"/>
    <mergeCell ref="A50:H50"/>
  </mergeCells>
  <conditionalFormatting sqref="B36:F38 B37:H37">
    <cfRule type="cellIs" dxfId="2" priority="1" operator="lessThan">
      <formula>0</formula>
    </cfRule>
  </conditionalFormatting>
  <conditionalFormatting sqref="G36:G38">
    <cfRule type="cellIs" dxfId="1" priority="2" operator="lessThan">
      <formula>0</formula>
    </cfRule>
  </conditionalFormatting>
  <conditionalFormatting sqref="H36:H38">
    <cfRule type="cellIs" dxfId="0" priority="3" operator="lessThan">
      <formula>0</formula>
    </cfRule>
  </conditionalFormatting>
  <pageMargins left="0.7" right="0.7" top="0.75" bottom="0.75" header="0" footer="0"/>
  <pageSetup scale="67" orientation="portrait" r:id="rId1"/>
</worksheet>
</file>

<file path=xl/worksheets/sheet9.xml><?xml version="1.0" encoding="utf-8"?>
<worksheet xmlns="http://schemas.openxmlformats.org/spreadsheetml/2006/main" xmlns:r="http://schemas.openxmlformats.org/officeDocument/2006/relationships">
  <dimension ref="A1:J100"/>
  <sheetViews>
    <sheetView view="pageBreakPreview" topLeftCell="A21" zoomScale="98" zoomScaleSheetLayoutView="98" workbookViewId="0">
      <selection activeCell="I32" sqref="I32"/>
    </sheetView>
  </sheetViews>
  <sheetFormatPr defaultColWidth="14.42578125" defaultRowHeight="15" customHeight="1"/>
  <cols>
    <col min="1" max="1" width="3.5703125" customWidth="1"/>
    <col min="2" max="2" width="35.7109375" customWidth="1"/>
    <col min="3" max="3" width="15.5703125" customWidth="1"/>
    <col min="4" max="4" width="15.7109375" customWidth="1"/>
    <col min="5" max="5" width="14.5703125" customWidth="1"/>
    <col min="6" max="6" width="14.7109375" customWidth="1"/>
    <col min="7" max="7" width="18.85546875" customWidth="1"/>
    <col min="8" max="9" width="14.85546875" customWidth="1"/>
    <col min="10" max="11" width="8.7109375" customWidth="1"/>
  </cols>
  <sheetData>
    <row r="1" spans="1:10">
      <c r="A1" s="356"/>
      <c r="B1" s="324"/>
      <c r="C1" s="324"/>
      <c r="D1" s="324"/>
      <c r="E1" s="324"/>
      <c r="F1" s="324"/>
      <c r="G1" s="324"/>
    </row>
    <row r="2" spans="1:10" ht="18.75">
      <c r="A2" s="340" t="s">
        <v>393</v>
      </c>
      <c r="B2" s="324"/>
      <c r="C2" s="324"/>
      <c r="D2" s="324"/>
      <c r="E2" s="324"/>
      <c r="F2" s="324"/>
      <c r="G2" s="324"/>
      <c r="H2" s="324"/>
      <c r="I2" s="324"/>
      <c r="J2" s="163"/>
    </row>
    <row r="4" spans="1:10">
      <c r="A4" s="191" t="s">
        <v>394</v>
      </c>
      <c r="B4" s="191" t="s">
        <v>142</v>
      </c>
      <c r="C4" s="85" t="s">
        <v>145</v>
      </c>
      <c r="D4" s="85" t="s">
        <v>146</v>
      </c>
      <c r="E4" s="85" t="s">
        <v>147</v>
      </c>
      <c r="F4" s="85" t="s">
        <v>148</v>
      </c>
      <c r="G4" s="85" t="s">
        <v>149</v>
      </c>
      <c r="H4" s="85" t="s">
        <v>150</v>
      </c>
      <c r="I4" s="85" t="s">
        <v>151</v>
      </c>
    </row>
    <row r="5" spans="1:10">
      <c r="A5" s="192">
        <v>1</v>
      </c>
      <c r="B5" s="192" t="s">
        <v>395</v>
      </c>
      <c r="C5" s="193"/>
      <c r="D5" s="193"/>
      <c r="E5" s="193"/>
      <c r="F5" s="193"/>
      <c r="G5" s="193"/>
      <c r="H5" s="193"/>
      <c r="I5" s="193"/>
    </row>
    <row r="6" spans="1:10">
      <c r="A6" s="192"/>
      <c r="B6" s="194" t="s">
        <v>396</v>
      </c>
      <c r="C6" s="193">
        <f>'6.Cons Profit &amp; Loss'!B15</f>
        <v>100393476.82499999</v>
      </c>
      <c r="D6" s="193">
        <f>'6.Cons Profit &amp; Loss'!C15</f>
        <v>110624652.82664065</v>
      </c>
      <c r="E6" s="193">
        <f>'6.Cons Profit &amp; Loss'!D15</f>
        <v>117240211.0007578</v>
      </c>
      <c r="F6" s="193">
        <f>'6.Cons Profit &amp; Loss'!E15</f>
        <v>124358274.18522012</v>
      </c>
      <c r="G6" s="193">
        <f>'6.Cons Profit &amp; Loss'!F15</f>
        <v>131902642.50712678</v>
      </c>
      <c r="H6" s="193">
        <f>'6.Cons Profit &amp; Loss'!G15</f>
        <v>139586543.46574602</v>
      </c>
      <c r="I6" s="193">
        <f>'6.Cons Profit &amp; Loss'!H15</f>
        <v>147804841.59301957</v>
      </c>
    </row>
    <row r="7" spans="1:10">
      <c r="A7" s="192">
        <v>2</v>
      </c>
      <c r="B7" s="192" t="s">
        <v>397</v>
      </c>
      <c r="C7" s="193">
        <f>'1.Project Cost and MOF'!E21</f>
        <v>1220000</v>
      </c>
      <c r="D7" s="193"/>
      <c r="E7" s="193"/>
      <c r="F7" s="193"/>
      <c r="G7" s="193"/>
      <c r="H7" s="193"/>
      <c r="I7" s="193"/>
    </row>
    <row r="8" spans="1:10">
      <c r="A8" s="192"/>
      <c r="B8" s="192" t="s">
        <v>398</v>
      </c>
      <c r="C8" s="193"/>
      <c r="D8" s="193"/>
      <c r="E8" s="193"/>
      <c r="F8" s="193"/>
      <c r="G8" s="193"/>
      <c r="H8" s="193"/>
      <c r="I8" s="193"/>
    </row>
    <row r="9" spans="1:10">
      <c r="A9" s="192">
        <v>3</v>
      </c>
      <c r="B9" s="192" t="str">
        <f>'7.Balance Sheet'!A34</f>
        <v>Smart Grant -in-Aid</v>
      </c>
      <c r="C9" s="193">
        <f>'1.Project Cost and MOF'!E19</f>
        <v>14505888</v>
      </c>
      <c r="D9" s="193"/>
      <c r="E9" s="193"/>
      <c r="F9" s="193"/>
      <c r="G9" s="193"/>
      <c r="H9" s="193"/>
      <c r="I9" s="193"/>
    </row>
    <row r="10" spans="1:10">
      <c r="A10" s="192">
        <v>4</v>
      </c>
      <c r="B10" s="192" t="s">
        <v>399</v>
      </c>
      <c r="C10" s="193">
        <f>'1.Project Cost and MOF'!E20</f>
        <v>8638120.9747197255</v>
      </c>
      <c r="D10" s="193"/>
      <c r="E10" s="193"/>
      <c r="F10" s="193"/>
      <c r="G10" s="193"/>
      <c r="H10" s="193"/>
      <c r="I10" s="193"/>
    </row>
    <row r="11" spans="1:10">
      <c r="A11" s="192">
        <v>5</v>
      </c>
      <c r="B11" s="192" t="s">
        <v>400</v>
      </c>
      <c r="C11" s="193">
        <f>'5.Closing Stock &amp; W Capital'!E55*75%</f>
        <v>8438803.8623876702</v>
      </c>
      <c r="D11" s="193">
        <f>'5.Closing Stock &amp; W Capital'!F55</f>
        <v>12118737.686008824</v>
      </c>
      <c r="E11" s="193">
        <f>'5.Closing Stock &amp; W Capital'!G55</f>
        <v>12827067.098252103</v>
      </c>
      <c r="F11" s="193">
        <f>'5.Closing Stock &amp; W Capital'!H55</f>
        <v>13582259.337925309</v>
      </c>
      <c r="G11" s="193">
        <f>'5.Closing Stock &amp; W Capital'!I55</f>
        <v>14381173.909303766</v>
      </c>
      <c r="H11" s="193">
        <f>'5.Closing Stock &amp; W Capital'!J55</f>
        <v>15200638.845306583</v>
      </c>
      <c r="I11" s="193">
        <f>'5.Closing Stock &amp; W Capital'!K55</f>
        <v>16072718.875274546</v>
      </c>
    </row>
    <row r="12" spans="1:10">
      <c r="A12" s="192"/>
      <c r="B12" s="192" t="s">
        <v>401</v>
      </c>
      <c r="C12" s="195">
        <f>SUM(C6:C11)</f>
        <v>133196289.66210739</v>
      </c>
      <c r="D12" s="195">
        <f t="shared" ref="D12:I12" si="0">SUM(D6:D11)</f>
        <v>122743390.51264948</v>
      </c>
      <c r="E12" s="195">
        <f t="shared" si="0"/>
        <v>130067278.0990099</v>
      </c>
      <c r="F12" s="195">
        <f t="shared" si="0"/>
        <v>137940533.52314544</v>
      </c>
      <c r="G12" s="195">
        <f t="shared" si="0"/>
        <v>146283816.41643053</v>
      </c>
      <c r="H12" s="195">
        <f t="shared" si="0"/>
        <v>154787182.31105259</v>
      </c>
      <c r="I12" s="195">
        <f t="shared" si="0"/>
        <v>163877560.46829411</v>
      </c>
    </row>
    <row r="13" spans="1:10">
      <c r="A13" s="371" t="s">
        <v>402</v>
      </c>
      <c r="B13" s="329"/>
      <c r="C13" s="196"/>
      <c r="D13" s="196"/>
      <c r="E13" s="196"/>
      <c r="F13" s="196"/>
      <c r="G13" s="196"/>
      <c r="H13" s="196"/>
      <c r="I13" s="196"/>
    </row>
    <row r="14" spans="1:10">
      <c r="A14" s="192">
        <v>1</v>
      </c>
      <c r="B14" s="192" t="s">
        <v>403</v>
      </c>
      <c r="C14" s="196"/>
      <c r="D14" s="196"/>
      <c r="E14" s="196"/>
      <c r="F14" s="196"/>
      <c r="G14" s="196"/>
      <c r="H14" s="196"/>
      <c r="I14" s="196"/>
    </row>
    <row r="15" spans="1:10">
      <c r="A15" s="197" t="s">
        <v>404</v>
      </c>
      <c r="B15" s="196" t="str">
        <f>+'1.Project Cost and MOF'!C5</f>
        <v>Land and Building</v>
      </c>
      <c r="C15" s="198">
        <f>'1.Project Cost and MOF'!D5</f>
        <v>14510500</v>
      </c>
      <c r="D15" s="198"/>
      <c r="E15" s="198"/>
      <c r="F15" s="198"/>
      <c r="G15" s="198"/>
      <c r="H15" s="198"/>
      <c r="I15" s="198"/>
    </row>
    <row r="16" spans="1:10">
      <c r="A16" s="197" t="s">
        <v>405</v>
      </c>
      <c r="B16" s="152" t="str">
        <f>+'1.Project Cost and MOF'!C6</f>
        <v>Machinery and Equipment</v>
      </c>
      <c r="C16" s="198">
        <f>'1.Project Cost and MOF'!D6</f>
        <v>8880680</v>
      </c>
      <c r="D16" s="198"/>
      <c r="E16" s="198"/>
      <c r="F16" s="198"/>
      <c r="G16" s="198"/>
      <c r="H16" s="198"/>
      <c r="I16" s="198"/>
    </row>
    <row r="17" spans="1:9">
      <c r="A17" s="197" t="s">
        <v>406</v>
      </c>
      <c r="B17" s="152" t="s">
        <v>407</v>
      </c>
      <c r="C17" s="198">
        <f>'1.Project Cost and MOF'!D7</f>
        <v>150000</v>
      </c>
      <c r="D17" s="198"/>
      <c r="E17" s="198"/>
      <c r="F17" s="198"/>
      <c r="G17" s="198"/>
      <c r="H17" s="198"/>
      <c r="I17" s="198"/>
    </row>
    <row r="18" spans="1:9">
      <c r="A18" s="197" t="s">
        <v>408</v>
      </c>
      <c r="B18" s="152" t="s">
        <v>703</v>
      </c>
      <c r="C18" s="198">
        <f>'1.Project Cost and MOF'!D8</f>
        <v>135300</v>
      </c>
      <c r="D18" s="198"/>
      <c r="E18" s="198"/>
      <c r="F18" s="198"/>
      <c r="G18" s="198"/>
      <c r="H18" s="198"/>
      <c r="I18" s="198"/>
    </row>
    <row r="19" spans="1:9">
      <c r="A19" s="197" t="s">
        <v>409</v>
      </c>
      <c r="B19" s="152" t="s">
        <v>188</v>
      </c>
      <c r="C19" s="198">
        <f>'1.Project Cost and MOF'!D9</f>
        <v>0</v>
      </c>
      <c r="D19" s="193"/>
      <c r="E19" s="193"/>
      <c r="F19" s="193"/>
      <c r="G19" s="193"/>
      <c r="H19" s="193"/>
      <c r="I19" s="193"/>
    </row>
    <row r="20" spans="1:9">
      <c r="A20" s="197" t="s">
        <v>410</v>
      </c>
      <c r="B20" s="152" t="s">
        <v>411</v>
      </c>
      <c r="C20" s="198">
        <f>'1.Project Cost and MOF'!D10</f>
        <v>500000</v>
      </c>
      <c r="D20" s="193"/>
      <c r="E20" s="193"/>
      <c r="F20" s="193"/>
      <c r="G20" s="193"/>
      <c r="H20" s="193"/>
      <c r="I20" s="193"/>
    </row>
    <row r="21" spans="1:9" ht="15.75" customHeight="1">
      <c r="A21" s="192">
        <v>2</v>
      </c>
      <c r="B21" s="192" t="s">
        <v>412</v>
      </c>
      <c r="C21" s="196"/>
      <c r="D21" s="196"/>
      <c r="E21" s="196"/>
      <c r="F21" s="196"/>
      <c r="G21" s="196"/>
      <c r="H21" s="196"/>
      <c r="I21" s="196"/>
    </row>
    <row r="22" spans="1:9" ht="15.75" customHeight="1">
      <c r="A22" s="197" t="s">
        <v>404</v>
      </c>
      <c r="B22" s="196" t="s">
        <v>346</v>
      </c>
      <c r="C22" s="193">
        <f>'6.Cons Profit &amp; Loss'!B25</f>
        <v>92475073.666500002</v>
      </c>
      <c r="D22" s="193">
        <f>'6.Cons Profit &amp; Loss'!C25</f>
        <v>100817960.98518752</v>
      </c>
      <c r="E22" s="193">
        <f>'6.Cons Profit &amp; Loss'!D25</f>
        <v>106058447.536365</v>
      </c>
      <c r="F22" s="193">
        <f>'6.Cons Profit &amp; Loss'!E25</f>
        <v>111744661.86112231</v>
      </c>
      <c r="G22" s="193">
        <f>'6.Cons Profit &amp; Loss'!F25</f>
        <v>117752801.12001438</v>
      </c>
      <c r="H22" s="193">
        <f>'6.Cons Profit &amp; Loss'!G25</f>
        <v>124103168.62458789</v>
      </c>
      <c r="I22" s="193">
        <f>'6.Cons Profit &amp; Loss'!H25</f>
        <v>130859340.88344611</v>
      </c>
    </row>
    <row r="23" spans="1:9" ht="15.75" customHeight="1">
      <c r="A23" s="197" t="s">
        <v>405</v>
      </c>
      <c r="B23" s="196" t="s">
        <v>348</v>
      </c>
      <c r="C23" s="193">
        <f>'6.Cons Profit &amp; Loss'!B36</f>
        <v>2939000</v>
      </c>
      <c r="D23" s="193">
        <f>'6.Cons Profit &amp; Loss'!C36</f>
        <v>3080190</v>
      </c>
      <c r="E23" s="193">
        <f>'6.Cons Profit &amp; Loss'!D36</f>
        <v>3255986.25</v>
      </c>
      <c r="F23" s="193">
        <f>'6.Cons Profit &amp; Loss'!E36</f>
        <v>3510139.2750000004</v>
      </c>
      <c r="G23" s="193">
        <f>'6.Cons Profit &amp; Loss'!F36</f>
        <v>3830761.0563750006</v>
      </c>
      <c r="H23" s="193">
        <f>'6.Cons Profit &amp; Loss'!G36</f>
        <v>4235845.5105112502</v>
      </c>
      <c r="I23" s="193">
        <f>'6.Cons Profit &amp; Loss'!H36</f>
        <v>4764124.7652843194</v>
      </c>
    </row>
    <row r="24" spans="1:9" ht="15.75" customHeight="1">
      <c r="A24" s="199">
        <v>3</v>
      </c>
      <c r="B24" s="192" t="s">
        <v>413</v>
      </c>
      <c r="C24" s="193"/>
      <c r="D24" s="193"/>
      <c r="E24" s="193"/>
      <c r="F24" s="193"/>
      <c r="G24" s="193"/>
      <c r="H24" s="193"/>
      <c r="I24" s="193"/>
    </row>
    <row r="25" spans="1:9" ht="15.75" customHeight="1">
      <c r="A25" s="197"/>
      <c r="B25" s="196" t="s">
        <v>414</v>
      </c>
      <c r="C25" s="193">
        <f>SUM('4.TL repayment sch'!E10:E21)</f>
        <v>1527727.9297128881</v>
      </c>
      <c r="D25" s="193">
        <f>SUM('4.TL repayment sch'!E22:E33)</f>
        <v>3343196.0524583557</v>
      </c>
      <c r="E25" s="193">
        <f>SUM('4.TL repayment sch'!E34:E45)</f>
        <v>3767196.992548469</v>
      </c>
      <c r="F25" s="193">
        <f>SUM('4.TL repayment sch'!E46:E57)</f>
        <v>-1.8086361455691852E-9</v>
      </c>
      <c r="G25" s="193">
        <f>SUM('4.TL repayment sch'!E58:E69)</f>
        <v>-2.038016479228767E-9</v>
      </c>
      <c r="H25" s="193">
        <f>SUM('4.TL repayment sch'!E70:E81)</f>
        <v>-2.296487980616407E-9</v>
      </c>
      <c r="I25" s="193">
        <f>SUM('4.TL repayment sch'!E82:E93)</f>
        <v>-2.5877401379557888E-9</v>
      </c>
    </row>
    <row r="26" spans="1:9" ht="15.75" customHeight="1">
      <c r="A26" s="197"/>
      <c r="B26" s="196" t="s">
        <v>415</v>
      </c>
      <c r="C26" s="193">
        <f>SUM('4.TL repayment sch'!D10:D21)</f>
        <v>998824.6657740362</v>
      </c>
      <c r="D26" s="193">
        <f>SUM('4.TL repayment sch'!D22:D33)</f>
        <v>673334.62154912576</v>
      </c>
      <c r="E26" s="193">
        <f>SUM('4.TL repayment sch'!D34:D45)</f>
        <v>249333.68145901279</v>
      </c>
      <c r="F26" s="193">
        <f>SUM('4.TL repayment sch'!D46:D57)</f>
        <v>1.8086361455691852E-9</v>
      </c>
      <c r="G26" s="193">
        <f>SUM('4.TL repayment sch'!D58:D69)</f>
        <v>2.038016479228767E-9</v>
      </c>
      <c r="H26" s="193">
        <f>SUM('4.TL repayment sch'!D70:D81)</f>
        <v>2.296487980616407E-9</v>
      </c>
      <c r="I26" s="193">
        <f>SUM('4.TL repayment sch'!D82:D93)</f>
        <v>2.5877401379557888E-9</v>
      </c>
    </row>
    <row r="27" spans="1:9" ht="15.75" customHeight="1">
      <c r="A27" s="197"/>
      <c r="B27" s="196" t="s">
        <v>416</v>
      </c>
      <c r="C27" s="193">
        <f>C11</f>
        <v>8438803.8623876702</v>
      </c>
      <c r="D27" s="193">
        <f t="shared" ref="D27:I27" si="1">D11</f>
        <v>12118737.686008824</v>
      </c>
      <c r="E27" s="193">
        <f t="shared" si="1"/>
        <v>12827067.098252103</v>
      </c>
      <c r="F27" s="193">
        <f t="shared" si="1"/>
        <v>13582259.337925309</v>
      </c>
      <c r="G27" s="193">
        <f t="shared" si="1"/>
        <v>14381173.909303766</v>
      </c>
      <c r="H27" s="193">
        <f t="shared" si="1"/>
        <v>15200638.845306583</v>
      </c>
      <c r="I27" s="193">
        <f t="shared" si="1"/>
        <v>16072718.875274546</v>
      </c>
    </row>
    <row r="28" spans="1:9" ht="15.75" customHeight="1">
      <c r="A28" s="197"/>
      <c r="B28" s="196" t="s">
        <v>417</v>
      </c>
      <c r="C28" s="200">
        <f t="shared" ref="C28:I28" si="2">C27*12%</f>
        <v>1012656.4634865203</v>
      </c>
      <c r="D28" s="200">
        <f>D27*12%</f>
        <v>1454248.5223210589</v>
      </c>
      <c r="E28" s="200">
        <f t="shared" si="2"/>
        <v>1539248.0517902523</v>
      </c>
      <c r="F28" s="200">
        <f t="shared" si="2"/>
        <v>1629871.1205510371</v>
      </c>
      <c r="G28" s="200">
        <f t="shared" si="2"/>
        <v>1725740.8691164518</v>
      </c>
      <c r="H28" s="200">
        <f t="shared" si="2"/>
        <v>1824076.6614367899</v>
      </c>
      <c r="I28" s="200">
        <f t="shared" si="2"/>
        <v>1928726.2650329454</v>
      </c>
    </row>
    <row r="29" spans="1:9" ht="15.75" customHeight="1">
      <c r="A29" s="192">
        <v>4</v>
      </c>
      <c r="B29" s="192" t="s">
        <v>418</v>
      </c>
      <c r="C29" s="193">
        <f>'6.Cons Profit &amp; Loss'!B50</f>
        <v>4069.0076022515818</v>
      </c>
      <c r="D29" s="193">
        <f>'6.Cons Profit &amp; Loss'!C50</f>
        <v>523825.89937156718</v>
      </c>
      <c r="E29" s="193">
        <f>'6.Cons Profit &amp; Loss'!D50</f>
        <v>1005619.702397318</v>
      </c>
      <c r="F29" s="193">
        <f>'6.Cons Profit &amp; Loss'!E50</f>
        <v>1423521.9486271597</v>
      </c>
      <c r="G29" s="193">
        <f>'6.Cons Profit &amp; Loss'!F50</f>
        <v>1775561.9790956953</v>
      </c>
      <c r="H29" s="193">
        <f>'6.Cons Profit &amp; Loss'!G50</f>
        <v>2070248.8818227334</v>
      </c>
      <c r="I29" s="193">
        <f>'6.Cons Profit &amp; Loss'!H50</f>
        <v>2331837.0281500076</v>
      </c>
    </row>
    <row r="30" spans="1:9" ht="15.75" customHeight="1">
      <c r="A30" s="192"/>
      <c r="B30" s="192" t="s">
        <v>419</v>
      </c>
      <c r="C30" s="195">
        <f>SUM(C15:C29)</f>
        <v>131572635.59546337</v>
      </c>
      <c r="D30" s="195">
        <f t="shared" ref="D30:I30" si="3">SUM(D15:D29)</f>
        <v>122011493.76689646</v>
      </c>
      <c r="E30" s="195">
        <f t="shared" si="3"/>
        <v>128702899.31281215</v>
      </c>
      <c r="F30" s="195">
        <f t="shared" si="3"/>
        <v>131890453.54322582</v>
      </c>
      <c r="G30" s="195">
        <f t="shared" si="3"/>
        <v>139466038.9339053</v>
      </c>
      <c r="H30" s="195">
        <f t="shared" si="3"/>
        <v>147433978.52366525</v>
      </c>
      <c r="I30" s="195">
        <f t="shared" si="3"/>
        <v>155956747.81718794</v>
      </c>
    </row>
    <row r="31" spans="1:9" ht="15.75" customHeight="1">
      <c r="A31" s="192"/>
      <c r="B31" s="192" t="s">
        <v>420</v>
      </c>
      <c r="C31" s="195">
        <f>C12-C30</f>
        <v>1623654.0666440278</v>
      </c>
      <c r="D31" s="195">
        <f>D12-D30</f>
        <v>731896.74575302005</v>
      </c>
      <c r="E31" s="195">
        <f t="shared" ref="E31:I31" si="4">E12-E30</f>
        <v>1364378.7861977518</v>
      </c>
      <c r="F31" s="195">
        <f t="shared" si="4"/>
        <v>6050079.9799196124</v>
      </c>
      <c r="G31" s="195">
        <f t="shared" si="4"/>
        <v>6817777.4825252295</v>
      </c>
      <c r="H31" s="195">
        <f t="shared" si="4"/>
        <v>7353203.7873873413</v>
      </c>
      <c r="I31" s="195">
        <f t="shared" si="4"/>
        <v>7920812.6511061788</v>
      </c>
    </row>
    <row r="32" spans="1:9" ht="15.75" customHeight="1">
      <c r="A32" s="199"/>
      <c r="B32" s="196" t="s">
        <v>421</v>
      </c>
      <c r="C32" s="196"/>
      <c r="D32" s="193">
        <f t="shared" ref="D32:I32" si="5">C33</f>
        <v>1623654.0666440278</v>
      </c>
      <c r="E32" s="193">
        <f t="shared" si="5"/>
        <v>2355550.8123970479</v>
      </c>
      <c r="F32" s="193">
        <f t="shared" si="5"/>
        <v>3719929.5985947996</v>
      </c>
      <c r="G32" s="193">
        <f t="shared" si="5"/>
        <v>9770009.578514412</v>
      </c>
      <c r="H32" s="193">
        <f t="shared" si="5"/>
        <v>16587787.061039641</v>
      </c>
      <c r="I32" s="193">
        <f t="shared" si="5"/>
        <v>23940990.848426983</v>
      </c>
    </row>
    <row r="33" spans="1:9" ht="15.75" customHeight="1">
      <c r="A33" s="192"/>
      <c r="B33" s="201" t="s">
        <v>422</v>
      </c>
      <c r="C33" s="195">
        <f>C31+C32</f>
        <v>1623654.0666440278</v>
      </c>
      <c r="D33" s="195">
        <f t="shared" ref="D33:I33" si="6">D31+D32</f>
        <v>2355550.8123970479</v>
      </c>
      <c r="E33" s="195">
        <f t="shared" si="6"/>
        <v>3719929.5985947996</v>
      </c>
      <c r="F33" s="195">
        <f t="shared" si="6"/>
        <v>9770009.578514412</v>
      </c>
      <c r="G33" s="195">
        <f t="shared" si="6"/>
        <v>16587787.061039641</v>
      </c>
      <c r="H33" s="195">
        <f t="shared" si="6"/>
        <v>23940990.848426983</v>
      </c>
      <c r="I33" s="195">
        <f t="shared" si="6"/>
        <v>31861803.499533162</v>
      </c>
    </row>
    <row r="34" spans="1:9" ht="15.75" customHeight="1"/>
    <row r="35" spans="1:9" ht="39.75" customHeight="1">
      <c r="A35" s="372" t="s">
        <v>423</v>
      </c>
      <c r="B35" s="372"/>
      <c r="C35" s="372"/>
      <c r="D35" s="372"/>
      <c r="E35" s="372"/>
      <c r="F35" s="372"/>
      <c r="G35" s="372"/>
      <c r="H35" s="372"/>
      <c r="I35" s="372"/>
    </row>
    <row r="36" spans="1:9" ht="15.75" customHeight="1"/>
    <row r="37" spans="1:9" ht="15.75" customHeight="1">
      <c r="C37" s="159"/>
    </row>
    <row r="38" spans="1:9" ht="15.75" customHeight="1">
      <c r="C38" s="159"/>
    </row>
    <row r="39" spans="1:9" ht="15.75" customHeight="1">
      <c r="C39" s="159"/>
    </row>
    <row r="40" spans="1:9" ht="15.75" customHeight="1">
      <c r="C40" s="159"/>
    </row>
    <row r="41" spans="1:9" ht="15.75" customHeight="1">
      <c r="C41" s="159"/>
    </row>
    <row r="42" spans="1:9" ht="15.75" customHeight="1"/>
    <row r="43" spans="1:9" ht="15.75" customHeight="1"/>
    <row r="44" spans="1:9" ht="15.75" customHeight="1"/>
    <row r="45" spans="1:9" ht="15.75" customHeight="1"/>
    <row r="46" spans="1:9" ht="15.75" customHeight="1"/>
    <row r="47" spans="1:9" ht="15.75" customHeight="1"/>
    <row r="48" spans="1:9"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sheetData>
  <mergeCells count="4">
    <mergeCell ref="A1:G1"/>
    <mergeCell ref="A13:B13"/>
    <mergeCell ref="A2:I2"/>
    <mergeCell ref="A35:I35"/>
  </mergeCells>
  <pageMargins left="0.7" right="0.7" top="0.75" bottom="0.75" header="0" footer="0"/>
  <pageSetup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5</vt:i4>
      </vt:variant>
    </vt:vector>
  </HeadingPairs>
  <TitlesOfParts>
    <vt:vector size="23" baseType="lpstr">
      <vt:lpstr>Note for users</vt:lpstr>
      <vt:lpstr>1.Project Cost and MOF</vt:lpstr>
      <vt:lpstr>2.Capex Details</vt:lpstr>
      <vt:lpstr>3.Other Exp &amp; Taxes</vt:lpstr>
      <vt:lpstr>4.TL repayment sch</vt:lpstr>
      <vt:lpstr>5.Closing Stock &amp; W Capital</vt:lpstr>
      <vt:lpstr>6.Cons Profit &amp; Loss</vt:lpstr>
      <vt:lpstr>7.Balance Sheet</vt:lpstr>
      <vt:lpstr>8.Cash Flow </vt:lpstr>
      <vt:lpstr>9. Financial indiacators</vt:lpstr>
      <vt:lpstr>10.Grain Production details</vt:lpstr>
      <vt:lpstr>11.F&amp;V Crop Production details</vt:lpstr>
      <vt:lpstr>12.Facility 1 - Cleaning &amp; Grad</vt:lpstr>
      <vt:lpstr>13.Facility 2 Grain Processing</vt:lpstr>
      <vt:lpstr>14. Facility 3 Warehouse</vt:lpstr>
      <vt:lpstr>15. Facility 4 Custom Hiring</vt:lpstr>
      <vt:lpstr>16.Facility 5 Agri Input</vt:lpstr>
      <vt:lpstr>17.Facility 6 Horti Processing </vt:lpstr>
      <vt:lpstr>'10.Grain Production details'!Print_Area</vt:lpstr>
      <vt:lpstr>'11.F&amp;V Crop Production details'!Print_Area</vt:lpstr>
      <vt:lpstr>'13.Facility 2 Grain Processing'!Print_Area</vt:lpstr>
      <vt:lpstr>'6.Cons Profit &amp; Loss'!Print_Area</vt:lpstr>
      <vt:lpstr>'9. Financial indiacators'!Print_Area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SAI</cp:lastModifiedBy>
  <cp:lastPrinted>2022-12-14T19:15:17Z</cp:lastPrinted>
  <dcterms:created xsi:type="dcterms:W3CDTF">2006-09-16T00:00:00Z</dcterms:created>
  <dcterms:modified xsi:type="dcterms:W3CDTF">2023-05-31T07:18:32Z</dcterms:modified>
</cp:coreProperties>
</file>